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updateLinks="never"/>
  <mc:AlternateContent xmlns:mc="http://schemas.openxmlformats.org/markup-compatibility/2006">
    <mc:Choice Requires="x15">
      <x15ac:absPath xmlns:x15ac="http://schemas.microsoft.com/office/spreadsheetml/2010/11/ac" url="https://d.docs.live.net/cb36679f4b82512b/"/>
    </mc:Choice>
  </mc:AlternateContent>
  <xr:revisionPtr revIDLastSave="168" documentId="8_{1B24B021-2AE1-4B95-8399-913C1D5C6B31}" xr6:coauthVersionLast="47" xr6:coauthVersionMax="47" xr10:uidLastSave="{EAC6D616-5670-43BE-8AB7-7ECC09292E26}"/>
  <bookViews>
    <workbookView xWindow="28680" yWindow="-120" windowWidth="38640" windowHeight="21120" tabRatio="911" xr2:uid="{00000000-000D-0000-FFFF-FFFF00000000}"/>
  </bookViews>
  <sheets>
    <sheet name="Kalender" sheetId="1" r:id="rId1"/>
    <sheet name="Geburtstage" sheetId="2" r:id="rId2"/>
    <sheet name="Termine" sheetId="4" r:id="rId3"/>
    <sheet name="Ferien" sheetId="7" r:id="rId4"/>
    <sheet name="Jahreskalender" sheetId="19" r:id="rId5"/>
    <sheet name="Feiertage" sheetId="8" r:id="rId6"/>
    <sheet name="Gießtage" sheetId="21" r:id="rId7"/>
    <sheet name="Sonne" sheetId="17" r:id="rId8"/>
    <sheet name="Jahreszeiten" sheetId="9" r:id="rId9"/>
    <sheet name="Mond" sheetId="5" r:id="rId10"/>
    <sheet name="Erläuterungen" sheetId="11" r:id="rId11"/>
    <sheet name="Mond-Daten" sheetId="6" state="hidden" r:id="rId12"/>
  </sheets>
  <definedNames>
    <definedName name="____xlnm.Print_Area" localSheetId="0">Kalender!$B$2:$V$456</definedName>
    <definedName name="____xN1">#REF!</definedName>
    <definedName name="___xlnm.Print_Area" localSheetId="1">Geburtstage!$A$1:$O$83</definedName>
    <definedName name="___xlnm.Print_Area" localSheetId="0">Kalender!$B$2:$V$14</definedName>
    <definedName name="___xlnm.Print_Area" localSheetId="2">Termine!$A$1:$M$58</definedName>
    <definedName name="___xN1">#REF!</definedName>
    <definedName name="___xN2">#REF!</definedName>
    <definedName name="__xlnm.Print_Area" localSheetId="1">Geburtstage!$A$1:$O$56</definedName>
    <definedName name="__xlnm.Print_Area" localSheetId="0">Kalender!$B$2:$V$14</definedName>
    <definedName name="__xlnm.Print_Area" localSheetId="2">Termine!$A$1:$M$58</definedName>
    <definedName name="__xN1">#REF!</definedName>
    <definedName name="__xN2">#REF!</definedName>
    <definedName name="__xN3">#REF!</definedName>
    <definedName name="_xN1">#REF!</definedName>
    <definedName name="_xN2">#REF!</definedName>
    <definedName name="_xN3">#REF!</definedName>
    <definedName name="Anton">#REF!</definedName>
    <definedName name="Axel">#REF!</definedName>
    <definedName name="Bild01">INDIRECT("A"&amp;#REF!)</definedName>
    <definedName name="bild2">INDIRECT("Jahreszeiten2!A"&amp;#REF!)</definedName>
    <definedName name="cosDEC">#REF!</definedName>
    <definedName name="cosH">#REF!</definedName>
    <definedName name="day">#REF!</definedName>
    <definedName name="_xlnm.Print_Area" localSheetId="3">Ferien!$A$2:$E$12</definedName>
    <definedName name="_xlnm.Print_Area" localSheetId="1">Geburtstage!$A$1:$O$83</definedName>
    <definedName name="_xlnm.Print_Area" localSheetId="4">Jahreskalender!$B$1:$BG$36</definedName>
    <definedName name="_xlnm.Print_Area" localSheetId="0">Kalender!$B$1:$U$24</definedName>
    <definedName name="_xlnm.Print_Area" localSheetId="2">Termine!$A$1:$M$58</definedName>
    <definedName name="Erich">#REF!</definedName>
    <definedName name="Excel_BuiltIn_Print_Area" localSheetId="0">Kalender!$B$2:$O$68</definedName>
    <definedName name="Excel_BuiltIn_Print_Area_1">0</definedName>
    <definedName name="Excel_BuiltIn_Print_Area_2">0</definedName>
    <definedName name="Excel_BuiltIn_Print_Area_3">0</definedName>
    <definedName name="Excel_BuiltIn_Print_Area_4">0</definedName>
    <definedName name="Excel_BuiltIn_Print_Area_5">0</definedName>
    <definedName name="Jahr">#REF!</definedName>
    <definedName name="Länge">#REF!</definedName>
    <definedName name="Längea">#REF!</definedName>
    <definedName name="latitude">#REF!</definedName>
    <definedName name="lngHour">#REF!</definedName>
    <definedName name="localOffset">#REF!</definedName>
    <definedName name="localT">#REF!</definedName>
    <definedName name="longitude">#REF!</definedName>
    <definedName name="Lquadrant">#REF!</definedName>
    <definedName name="month">#REF!</definedName>
    <definedName name="moonph">#REF!</definedName>
    <definedName name="Name">#REF!</definedName>
    <definedName name="Name1">#REF!</definedName>
    <definedName name="Name2">#REF!</definedName>
    <definedName name="Name3">#REF!</definedName>
    <definedName name="namea">#REF!</definedName>
    <definedName name="RAquadrant">#REF!</definedName>
    <definedName name="Schritt3">#REF!</definedName>
    <definedName name="Schritta">#REF!</definedName>
    <definedName name="Schrittb">#REF!</definedName>
    <definedName name="Schrittc">#REF!</definedName>
    <definedName name="Schrittd">#REF!</definedName>
    <definedName name="Schritte">#REF!</definedName>
    <definedName name="Schrittf">#REF!</definedName>
    <definedName name="sinDEC">#REF!</definedName>
    <definedName name="t">#REF!</definedName>
    <definedName name="Tag">#REF!</definedName>
    <definedName name="visible">#REF!</definedName>
    <definedName name="xcosH">#REF!</definedName>
    <definedName name="xH">#REF!</definedName>
    <definedName name="xL">#REF!</definedName>
    <definedName name="xM">#REF!</definedName>
    <definedName name="xN">#REF!</definedName>
    <definedName name="xRA">#REF!</definedName>
    <definedName name="xT">#REF!</definedName>
    <definedName name="xUT">#REF!</definedName>
    <definedName name="xxH">#REF!</definedName>
    <definedName name="xxL">#REF!</definedName>
    <definedName name="xxRA">#REF!</definedName>
    <definedName name="xxUT">#REF!</definedName>
    <definedName name="xxxRA">#REF!</definedName>
    <definedName name="ycosDEC">#REF!</definedName>
    <definedName name="ycosH">#REF!</definedName>
    <definedName name="year">#REF!</definedName>
    <definedName name="ylocalT">#REF!</definedName>
    <definedName name="yLquadrant">#REF!</definedName>
    <definedName name="yRAquadrant">#REF!</definedName>
    <definedName name="ysinDEC">#REF!</definedName>
    <definedName name="yt">#REF!</definedName>
    <definedName name="yxcosH">#REF!</definedName>
    <definedName name="yxH">#REF!</definedName>
    <definedName name="yxL">#REF!</definedName>
    <definedName name="yxM">#REF!</definedName>
    <definedName name="yxRA">#REF!</definedName>
    <definedName name="yxT">#REF!</definedName>
    <definedName name="yxUT">#REF!</definedName>
    <definedName name="yxxH">#REF!</definedName>
    <definedName name="yxxL">#REF!</definedName>
    <definedName name="yxxRA">#REF!</definedName>
    <definedName name="yxxUT">#REF!</definedName>
    <definedName name="yxxxRA">#REF!</definedName>
    <definedName name="zenith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7" l="1"/>
  <c r="D1" i="8"/>
  <c r="B36" i="19"/>
  <c r="AQ36" i="19" s="1"/>
  <c r="C15" i="4"/>
  <c r="C17" i="4"/>
  <c r="C18" i="4"/>
  <c r="C19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13" i="4"/>
  <c r="Q36" i="19" l="1"/>
  <c r="P15" i="4"/>
  <c r="Q15" i="4"/>
  <c r="R15" i="4"/>
  <c r="P16" i="4"/>
  <c r="Q16" i="4"/>
  <c r="C16" i="4" s="1"/>
  <c r="R16" i="4"/>
  <c r="P17" i="4"/>
  <c r="Q17" i="4"/>
  <c r="R17" i="4"/>
  <c r="P18" i="4"/>
  <c r="Q18" i="4"/>
  <c r="R18" i="4"/>
  <c r="P19" i="4"/>
  <c r="Q19" i="4"/>
  <c r="R19" i="4"/>
  <c r="P20" i="4"/>
  <c r="C20" i="4" s="1"/>
  <c r="Q20" i="4"/>
  <c r="R20" i="4"/>
  <c r="P21" i="4"/>
  <c r="C21" i="4" s="1"/>
  <c r="Q21" i="4"/>
  <c r="R21" i="4"/>
  <c r="P22" i="4"/>
  <c r="Q22" i="4"/>
  <c r="R22" i="4"/>
  <c r="P23" i="4"/>
  <c r="Q23" i="4"/>
  <c r="R23" i="4"/>
  <c r="P24" i="4"/>
  <c r="Q24" i="4"/>
  <c r="R24" i="4"/>
  <c r="P25" i="4"/>
  <c r="Q25" i="4"/>
  <c r="R25" i="4"/>
  <c r="P26" i="4"/>
  <c r="Q26" i="4"/>
  <c r="R26" i="4"/>
  <c r="P27" i="4"/>
  <c r="Q27" i="4"/>
  <c r="R27" i="4"/>
  <c r="P28" i="4"/>
  <c r="Q28" i="4"/>
  <c r="R28" i="4"/>
  <c r="P29" i="4"/>
  <c r="Q29" i="4"/>
  <c r="R29" i="4"/>
  <c r="P30" i="4"/>
  <c r="Q30" i="4"/>
  <c r="R30" i="4"/>
  <c r="P31" i="4"/>
  <c r="Q31" i="4"/>
  <c r="R31" i="4"/>
  <c r="P32" i="4"/>
  <c r="Q32" i="4"/>
  <c r="R32" i="4"/>
  <c r="P33" i="4"/>
  <c r="Q33" i="4"/>
  <c r="R33" i="4"/>
  <c r="P34" i="4"/>
  <c r="Q34" i="4"/>
  <c r="R34" i="4"/>
  <c r="P35" i="4"/>
  <c r="Q35" i="4"/>
  <c r="R35" i="4"/>
  <c r="P36" i="4"/>
  <c r="Q36" i="4"/>
  <c r="R36" i="4"/>
  <c r="P37" i="4"/>
  <c r="Q37" i="4"/>
  <c r="R37" i="4"/>
  <c r="P38" i="4"/>
  <c r="Q38" i="4"/>
  <c r="R38" i="4"/>
  <c r="P39" i="4"/>
  <c r="Q39" i="4"/>
  <c r="R39" i="4"/>
  <c r="P40" i="4"/>
  <c r="Q40" i="4"/>
  <c r="R40" i="4"/>
  <c r="P41" i="4"/>
  <c r="Q41" i="4"/>
  <c r="R41" i="4"/>
  <c r="P42" i="4"/>
  <c r="Q42" i="4"/>
  <c r="R42" i="4"/>
  <c r="P43" i="4"/>
  <c r="Q43" i="4"/>
  <c r="R43" i="4"/>
  <c r="P44" i="4"/>
  <c r="Q44" i="4"/>
  <c r="R44" i="4"/>
  <c r="P45" i="4"/>
  <c r="Q45" i="4"/>
  <c r="R45" i="4"/>
  <c r="P46" i="4"/>
  <c r="Q46" i="4"/>
  <c r="R46" i="4"/>
  <c r="P47" i="4"/>
  <c r="Q47" i="4"/>
  <c r="R47" i="4"/>
  <c r="P48" i="4"/>
  <c r="Q48" i="4"/>
  <c r="R48" i="4"/>
  <c r="P49" i="4"/>
  <c r="Q49" i="4"/>
  <c r="R49" i="4"/>
  <c r="P50" i="4"/>
  <c r="Q50" i="4"/>
  <c r="R50" i="4"/>
  <c r="P51" i="4"/>
  <c r="Q51" i="4"/>
  <c r="R51" i="4"/>
  <c r="P52" i="4"/>
  <c r="Q52" i="4"/>
  <c r="R52" i="4"/>
  <c r="P53" i="4"/>
  <c r="Q53" i="4"/>
  <c r="R53" i="4"/>
  <c r="P54" i="4"/>
  <c r="Q54" i="4"/>
  <c r="R54" i="4"/>
  <c r="P55" i="4"/>
  <c r="Q55" i="4"/>
  <c r="R55" i="4"/>
  <c r="P56" i="4"/>
  <c r="Q56" i="4"/>
  <c r="R56" i="4"/>
  <c r="P57" i="4"/>
  <c r="Q57" i="4"/>
  <c r="R57" i="4"/>
  <c r="R13" i="4"/>
  <c r="R14" i="4"/>
  <c r="R5" i="4"/>
  <c r="R6" i="4"/>
  <c r="R7" i="4"/>
  <c r="R8" i="4"/>
  <c r="R9" i="4"/>
  <c r="R10" i="4"/>
  <c r="R11" i="4"/>
  <c r="C5" i="4"/>
  <c r="C7" i="4"/>
  <c r="C8" i="4"/>
  <c r="C9" i="4"/>
  <c r="C10" i="4"/>
  <c r="C11" i="4"/>
  <c r="R4" i="4"/>
  <c r="D22" i="7" l="1"/>
  <c r="D20" i="7"/>
  <c r="E19" i="7"/>
  <c r="C19" i="7"/>
  <c r="D19" i="7" s="1"/>
  <c r="Q11" i="7"/>
  <c r="Q13" i="7" s="1"/>
  <c r="E11" i="7"/>
  <c r="C11" i="7"/>
  <c r="Q10" i="7"/>
  <c r="D16" i="7" s="1"/>
  <c r="B10" i="7"/>
  <c r="Q9" i="7"/>
  <c r="D15" i="7" s="1"/>
  <c r="E4" i="1"/>
  <c r="Q8" i="7"/>
  <c r="D14" i="7" s="1"/>
  <c r="Q7" i="7"/>
  <c r="D13" i="7" s="1"/>
  <c r="Q6" i="7"/>
  <c r="Q5" i="7"/>
  <c r="E10" i="7" s="1"/>
  <c r="B5" i="7"/>
  <c r="Q4" i="7"/>
  <c r="C15" i="7" l="1"/>
  <c r="D11" i="7"/>
  <c r="C16" i="7"/>
  <c r="C17" i="7"/>
  <c r="C12" i="7"/>
  <c r="D12" i="7" s="1"/>
  <c r="C13" i="7"/>
  <c r="Q12" i="7"/>
  <c r="C14" i="7"/>
  <c r="Q14" i="7" l="1"/>
  <c r="D17" i="7"/>
  <c r="B11" i="4"/>
  <c r="B10" i="4"/>
  <c r="B9" i="4"/>
  <c r="B8" i="4"/>
  <c r="B7" i="4"/>
  <c r="B6" i="4"/>
  <c r="B5" i="4"/>
  <c r="I4" i="21"/>
  <c r="I3" i="21" s="1"/>
  <c r="B3" i="21" s="1"/>
  <c r="P81" i="2"/>
  <c r="O81" i="2"/>
  <c r="E82" i="2"/>
  <c r="E73" i="2"/>
  <c r="E72" i="2"/>
  <c r="D72" i="2"/>
  <c r="B72" i="2" s="1"/>
  <c r="E71" i="2"/>
  <c r="D71" i="2"/>
  <c r="B71" i="2" s="1"/>
  <c r="E70" i="2"/>
  <c r="D70" i="2"/>
  <c r="B70" i="2" s="1"/>
  <c r="E69" i="2"/>
  <c r="D69" i="2"/>
  <c r="B69" i="2" s="1"/>
  <c r="E68" i="2"/>
  <c r="D68" i="2"/>
  <c r="B68" i="2" s="1"/>
  <c r="E67" i="2"/>
  <c r="D67" i="2"/>
  <c r="B67" i="2" s="1"/>
  <c r="E66" i="2"/>
  <c r="D66" i="2"/>
  <c r="B66" i="2" s="1"/>
  <c r="E65" i="2"/>
  <c r="D65" i="2"/>
  <c r="B65" i="2"/>
  <c r="N4" i="2" l="1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K5" i="2"/>
  <c r="K6" i="2"/>
  <c r="K7" i="2"/>
  <c r="K10" i="2"/>
  <c r="K11" i="2"/>
  <c r="K12" i="2"/>
  <c r="K13" i="2"/>
  <c r="K14" i="2"/>
  <c r="K15" i="2"/>
  <c r="K16" i="2"/>
  <c r="K17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H65" i="2"/>
  <c r="H66" i="2"/>
  <c r="H67" i="2"/>
  <c r="H68" i="2"/>
  <c r="H69" i="2"/>
  <c r="H70" i="2"/>
  <c r="H71" i="2"/>
  <c r="H72" i="2"/>
  <c r="H21" i="1"/>
  <c r="H20" i="1"/>
  <c r="P14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H22" i="1" l="1"/>
  <c r="B21" i="8"/>
  <c r="B22" i="8"/>
  <c r="J1" i="8"/>
  <c r="D4" i="8" l="1"/>
  <c r="D16" i="8"/>
  <c r="D12" i="8"/>
  <c r="D5" i="8"/>
  <c r="D17" i="8"/>
  <c r="D6" i="8"/>
  <c r="D18" i="8"/>
  <c r="D7" i="8"/>
  <c r="D11" i="8"/>
  <c r="D8" i="8"/>
  <c r="D13" i="8"/>
  <c r="D9" i="8"/>
  <c r="D3" i="8"/>
  <c r="D20" i="8" s="1"/>
  <c r="D10" i="8"/>
  <c r="D14" i="8"/>
  <c r="D15" i="8"/>
  <c r="D2" i="8"/>
  <c r="D19" i="8" s="1"/>
  <c r="O64" i="2" l="1"/>
  <c r="P64" i="2"/>
  <c r="O65" i="2"/>
  <c r="P65" i="2"/>
  <c r="O66" i="2"/>
  <c r="P66" i="2"/>
  <c r="O67" i="2"/>
  <c r="P67" i="2"/>
  <c r="O68" i="2"/>
  <c r="P68" i="2"/>
  <c r="O69" i="2"/>
  <c r="P69" i="2"/>
  <c r="O70" i="2"/>
  <c r="P70" i="2"/>
  <c r="O71" i="2"/>
  <c r="P71" i="2"/>
  <c r="O72" i="2"/>
  <c r="P72" i="2"/>
  <c r="O45" i="2"/>
  <c r="P45" i="2"/>
  <c r="O46" i="2"/>
  <c r="P46" i="2"/>
  <c r="O47" i="2"/>
  <c r="P47" i="2"/>
  <c r="O48" i="2"/>
  <c r="P48" i="2"/>
  <c r="O49" i="2"/>
  <c r="P49" i="2"/>
  <c r="O50" i="2"/>
  <c r="P50" i="2"/>
  <c r="O51" i="2"/>
  <c r="P51" i="2"/>
  <c r="O52" i="2"/>
  <c r="P52" i="2"/>
  <c r="O53" i="2"/>
  <c r="P53" i="2"/>
  <c r="O54" i="2"/>
  <c r="P54" i="2"/>
  <c r="O55" i="2"/>
  <c r="P55" i="2"/>
  <c r="O56" i="2"/>
  <c r="P56" i="2"/>
  <c r="O57" i="2"/>
  <c r="P57" i="2"/>
  <c r="O58" i="2"/>
  <c r="P58" i="2"/>
  <c r="O59" i="2"/>
  <c r="P59" i="2"/>
  <c r="O60" i="2"/>
  <c r="P60" i="2"/>
  <c r="O61" i="2"/>
  <c r="P61" i="2"/>
  <c r="O62" i="2"/>
  <c r="P62" i="2"/>
  <c r="O63" i="2"/>
  <c r="P63" i="2"/>
  <c r="BJ7" i="19" l="1"/>
  <c r="BD34" i="19" l="1"/>
  <c r="AE34" i="19"/>
  <c r="AT34" i="19"/>
  <c r="U34" i="19"/>
  <c r="K34" i="19"/>
  <c r="K33" i="19"/>
  <c r="BE3" i="19"/>
  <c r="H1" i="8" l="1"/>
  <c r="G4" i="1" s="1"/>
  <c r="K29" i="4"/>
  <c r="K30" i="4"/>
  <c r="K31" i="4"/>
  <c r="K32" i="4"/>
  <c r="K33" i="4"/>
  <c r="K34" i="4"/>
  <c r="K35" i="4"/>
  <c r="K36" i="4"/>
  <c r="K37" i="4"/>
  <c r="K38" i="4"/>
  <c r="K39" i="4"/>
  <c r="K40" i="4"/>
  <c r="B2" i="1"/>
  <c r="G1" i="2" l="1"/>
  <c r="L7" i="21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P10" i="4" l="1"/>
  <c r="P11" i="4"/>
  <c r="K7" i="4"/>
  <c r="K8" i="4"/>
  <c r="K9" i="4"/>
  <c r="K10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Q10" i="4" l="1"/>
  <c r="U4" i="4"/>
  <c r="T4" i="4"/>
  <c r="K5" i="4"/>
  <c r="K6" i="4"/>
  <c r="E1" i="4" l="1"/>
  <c r="B4" i="4" s="1"/>
  <c r="D61" i="2" l="1"/>
  <c r="B61" i="2" s="1"/>
  <c r="D57" i="2"/>
  <c r="B57" i="2" s="1"/>
  <c r="D53" i="2"/>
  <c r="B53" i="2" s="1"/>
  <c r="D49" i="2"/>
  <c r="B49" i="2" s="1"/>
  <c r="D45" i="2"/>
  <c r="B45" i="2" s="1"/>
  <c r="D64" i="2"/>
  <c r="B64" i="2" s="1"/>
  <c r="D60" i="2"/>
  <c r="B60" i="2" s="1"/>
  <c r="D56" i="2"/>
  <c r="B56" i="2" s="1"/>
  <c r="D52" i="2"/>
  <c r="B52" i="2" s="1"/>
  <c r="D62" i="2"/>
  <c r="B62" i="2" s="1"/>
  <c r="D58" i="2"/>
  <c r="B58" i="2" s="1"/>
  <c r="D54" i="2"/>
  <c r="B54" i="2" s="1"/>
  <c r="D50" i="2"/>
  <c r="B50" i="2" s="1"/>
  <c r="D46" i="2"/>
  <c r="B46" i="2" s="1"/>
  <c r="D63" i="2"/>
  <c r="B63" i="2" s="1"/>
  <c r="D59" i="2"/>
  <c r="B59" i="2" s="1"/>
  <c r="D55" i="2"/>
  <c r="B55" i="2" s="1"/>
  <c r="D51" i="2"/>
  <c r="B51" i="2" s="1"/>
  <c r="D47" i="2"/>
  <c r="B47" i="2" s="1"/>
  <c r="D48" i="2"/>
  <c r="B48" i="2" s="1"/>
  <c r="H64" i="2"/>
  <c r="E64" i="2" s="1"/>
  <c r="K4" i="2"/>
  <c r="K8" i="2"/>
  <c r="K18" i="2"/>
  <c r="K9" i="2"/>
  <c r="E5" i="2"/>
  <c r="H9" i="2"/>
  <c r="H13" i="2"/>
  <c r="E13" i="2" s="1"/>
  <c r="H17" i="2"/>
  <c r="E17" i="2" s="1"/>
  <c r="H21" i="2"/>
  <c r="E21" i="2" s="1"/>
  <c r="H25" i="2"/>
  <c r="E25" i="2" s="1"/>
  <c r="H29" i="2"/>
  <c r="E29" i="2" s="1"/>
  <c r="H33" i="2"/>
  <c r="E33" i="2" s="1"/>
  <c r="H37" i="2"/>
  <c r="E37" i="2" s="1"/>
  <c r="H41" i="2"/>
  <c r="E41" i="2" s="1"/>
  <c r="H45" i="2"/>
  <c r="E45" i="2" s="1"/>
  <c r="H49" i="2"/>
  <c r="E49" i="2" s="1"/>
  <c r="H53" i="2"/>
  <c r="E53" i="2" s="1"/>
  <c r="H57" i="2"/>
  <c r="E57" i="2" s="1"/>
  <c r="H61" i="2"/>
  <c r="E61" i="2" s="1"/>
  <c r="H7" i="2"/>
  <c r="E7" i="2" s="1"/>
  <c r="H11" i="2"/>
  <c r="E11" i="2" s="1"/>
  <c r="H15" i="2"/>
  <c r="E15" i="2" s="1"/>
  <c r="H19" i="2"/>
  <c r="E19" i="2" s="1"/>
  <c r="H23" i="2"/>
  <c r="E23" i="2" s="1"/>
  <c r="H27" i="2"/>
  <c r="E27" i="2" s="1"/>
  <c r="H31" i="2"/>
  <c r="E31" i="2" s="1"/>
  <c r="H35" i="2"/>
  <c r="E35" i="2" s="1"/>
  <c r="H39" i="2"/>
  <c r="E39" i="2" s="1"/>
  <c r="H43" i="2"/>
  <c r="E43" i="2" s="1"/>
  <c r="H47" i="2"/>
  <c r="E47" i="2" s="1"/>
  <c r="H51" i="2"/>
  <c r="E51" i="2" s="1"/>
  <c r="H59" i="2"/>
  <c r="E59" i="2" s="1"/>
  <c r="H63" i="2"/>
  <c r="E63" i="2" s="1"/>
  <c r="H12" i="2"/>
  <c r="E12" i="2" s="1"/>
  <c r="H20" i="2"/>
  <c r="E20" i="2" s="1"/>
  <c r="H28" i="2"/>
  <c r="E28" i="2" s="1"/>
  <c r="H40" i="2"/>
  <c r="E40" i="2" s="1"/>
  <c r="H48" i="2"/>
  <c r="E48" i="2" s="1"/>
  <c r="H56" i="2"/>
  <c r="E56" i="2" s="1"/>
  <c r="E6" i="2"/>
  <c r="H10" i="2"/>
  <c r="E10" i="2" s="1"/>
  <c r="H14" i="2"/>
  <c r="E14" i="2" s="1"/>
  <c r="H18" i="2"/>
  <c r="H22" i="2"/>
  <c r="E22" i="2" s="1"/>
  <c r="H26" i="2"/>
  <c r="E26" i="2" s="1"/>
  <c r="H30" i="2"/>
  <c r="E30" i="2" s="1"/>
  <c r="H34" i="2"/>
  <c r="E34" i="2" s="1"/>
  <c r="H38" i="2"/>
  <c r="E38" i="2" s="1"/>
  <c r="H42" i="2"/>
  <c r="E42" i="2" s="1"/>
  <c r="H46" i="2"/>
  <c r="E46" i="2" s="1"/>
  <c r="H50" i="2"/>
  <c r="E50" i="2" s="1"/>
  <c r="H54" i="2"/>
  <c r="E54" i="2" s="1"/>
  <c r="H58" i="2"/>
  <c r="E58" i="2" s="1"/>
  <c r="H62" i="2"/>
  <c r="E62" i="2" s="1"/>
  <c r="H55" i="2"/>
  <c r="E55" i="2" s="1"/>
  <c r="H8" i="2"/>
  <c r="H16" i="2"/>
  <c r="E16" i="2" s="1"/>
  <c r="H24" i="2"/>
  <c r="E24" i="2" s="1"/>
  <c r="H32" i="2"/>
  <c r="E32" i="2" s="1"/>
  <c r="H36" i="2"/>
  <c r="E36" i="2" s="1"/>
  <c r="H44" i="2"/>
  <c r="E44" i="2" s="1"/>
  <c r="H52" i="2"/>
  <c r="E52" i="2" s="1"/>
  <c r="H60" i="2"/>
  <c r="E60" i="2" s="1"/>
  <c r="G1" i="4"/>
  <c r="D3" i="17"/>
  <c r="E4" i="2" l="1"/>
  <c r="E8" i="2"/>
  <c r="E18" i="2"/>
  <c r="E9" i="2"/>
  <c r="C7" i="17"/>
  <c r="C5" i="17" l="1"/>
  <c r="C4" i="17"/>
  <c r="C23" i="17"/>
  <c r="D13" i="17"/>
  <c r="C2" i="17"/>
  <c r="D11" i="17" s="1"/>
  <c r="C3" i="17" l="1"/>
  <c r="E11" i="17"/>
  <c r="D12" i="17"/>
  <c r="E12" i="17"/>
  <c r="D2" i="17"/>
  <c r="C11" i="17" s="1"/>
  <c r="C13" i="17" s="1"/>
  <c r="E9" i="17" l="1"/>
  <c r="B8" i="17" l="1"/>
  <c r="C9" i="17"/>
  <c r="E8" i="17"/>
  <c r="C14" i="17" l="1"/>
  <c r="C16" i="17"/>
  <c r="U21" i="1" s="1"/>
  <c r="C18" i="17"/>
  <c r="B24" i="17"/>
  <c r="U23" i="1" l="1"/>
  <c r="E20" i="17"/>
  <c r="C19" i="17" s="1"/>
  <c r="C17" i="17"/>
  <c r="U22" i="1" s="1"/>
  <c r="A24" i="17"/>
  <c r="C24" i="17" l="1"/>
  <c r="E24" i="17" l="1"/>
  <c r="AA18" i="1" l="1"/>
  <c r="Q14" i="4" l="1"/>
  <c r="C14" i="4" s="1"/>
  <c r="B14" i="4"/>
  <c r="Q13" i="4"/>
  <c r="P13" i="4"/>
  <c r="B13" i="4"/>
  <c r="Q9" i="4"/>
  <c r="Q8" i="4"/>
  <c r="P8" i="4"/>
  <c r="Q7" i="4"/>
  <c r="P7" i="4"/>
  <c r="Q6" i="4"/>
  <c r="P6" i="4"/>
  <c r="C6" i="4" s="1"/>
  <c r="Q5" i="4"/>
  <c r="P5" i="4"/>
  <c r="Q4" i="4"/>
  <c r="Q3" i="4"/>
  <c r="P3" i="4"/>
  <c r="C3" i="4" l="1"/>
  <c r="AG14" i="1" l="1"/>
  <c r="D6" i="1" l="1"/>
  <c r="L8" i="17"/>
  <c r="P9" i="4"/>
  <c r="L473" i="2"/>
  <c r="S14" i="1" l="1"/>
  <c r="E6" i="1"/>
  <c r="C1" i="8"/>
  <c r="E51" i="8" s="1"/>
  <c r="C2" i="9"/>
  <c r="G2" i="9"/>
  <c r="H6" i="1"/>
  <c r="AC13" i="1"/>
  <c r="Z14" i="1"/>
  <c r="AA14" i="1"/>
  <c r="P73" i="2"/>
  <c r="O73" i="2"/>
  <c r="E48" i="8" l="1"/>
  <c r="B48" i="8" s="1"/>
  <c r="BJ1" i="19"/>
  <c r="AK4" i="19" s="1"/>
  <c r="E2" i="9"/>
  <c r="E3" i="9"/>
  <c r="I20" i="8"/>
  <c r="E2" i="8"/>
  <c r="E26" i="8"/>
  <c r="B26" i="8" s="1"/>
  <c r="E16" i="8"/>
  <c r="E12" i="8"/>
  <c r="E32" i="8"/>
  <c r="E17" i="8"/>
  <c r="E49" i="8"/>
  <c r="B49" i="8" s="1"/>
  <c r="E28" i="8"/>
  <c r="B28" i="8" s="1"/>
  <c r="E19" i="8"/>
  <c r="B19" i="8" s="1"/>
  <c r="E20" i="8"/>
  <c r="B20" i="8" s="1"/>
  <c r="E18" i="8"/>
  <c r="E38" i="8"/>
  <c r="B38" i="8" s="1"/>
  <c r="E46" i="8"/>
  <c r="B46" i="8" s="1"/>
  <c r="E14" i="8"/>
  <c r="E27" i="8"/>
  <c r="B27" i="8" s="1"/>
  <c r="E45" i="8"/>
  <c r="B45" i="8" s="1"/>
  <c r="E4" i="8"/>
  <c r="B4" i="8" s="1"/>
  <c r="BL11" i="19" s="1"/>
  <c r="E47" i="8"/>
  <c r="B47" i="8" s="1"/>
  <c r="E7" i="8"/>
  <c r="E3" i="8"/>
  <c r="B3" i="8" s="1"/>
  <c r="BL10" i="19" s="1"/>
  <c r="BJ10" i="19" s="1"/>
  <c r="E39" i="8"/>
  <c r="B39" i="8" s="1"/>
  <c r="E13" i="8"/>
  <c r="E33" i="8"/>
  <c r="E40" i="8"/>
  <c r="E15" i="8"/>
  <c r="E29" i="8"/>
  <c r="B29" i="8" s="1"/>
  <c r="E11" i="8"/>
  <c r="P4" i="4"/>
  <c r="C4" i="4" s="1"/>
  <c r="K4" i="4"/>
  <c r="BJ11" i="19" l="1"/>
  <c r="BS11" i="19"/>
  <c r="BM11" i="19"/>
  <c r="BR11" i="19"/>
  <c r="BP11" i="19"/>
  <c r="BN11" i="19" s="1"/>
  <c r="BO11" i="19" s="1"/>
  <c r="BP8" i="19"/>
  <c r="B12" i="8"/>
  <c r="BL19" i="19" s="1"/>
  <c r="BJ19" i="19" s="1"/>
  <c r="B14" i="8"/>
  <c r="BL21" i="19" s="1"/>
  <c r="BJ21" i="19" s="1"/>
  <c r="B18" i="8"/>
  <c r="BL25" i="19" s="1"/>
  <c r="BJ25" i="19" s="1"/>
  <c r="B17" i="8"/>
  <c r="BL24" i="19" s="1"/>
  <c r="BJ24" i="19" s="1"/>
  <c r="B11" i="8"/>
  <c r="BL18" i="19" s="1"/>
  <c r="BJ18" i="19" s="1"/>
  <c r="B16" i="8"/>
  <c r="BL23" i="19" s="1"/>
  <c r="BJ23" i="19" s="1"/>
  <c r="B13" i="8"/>
  <c r="BL20" i="19" s="1"/>
  <c r="BJ20" i="19" s="1"/>
  <c r="B7" i="8"/>
  <c r="BL14" i="19" s="1"/>
  <c r="BJ14" i="19" s="1"/>
  <c r="B15" i="8"/>
  <c r="BL22" i="19" s="1"/>
  <c r="BJ22" i="19" s="1"/>
  <c r="AZ4" i="19"/>
  <c r="BE4" i="19"/>
  <c r="B4" i="19"/>
  <c r="AU4" i="19"/>
  <c r="AP4" i="19"/>
  <c r="V4" i="19"/>
  <c r="BN8" i="19"/>
  <c r="B1" i="19"/>
  <c r="G4" i="19"/>
  <c r="L4" i="19"/>
  <c r="Q4" i="19"/>
  <c r="AA4" i="19"/>
  <c r="AF4" i="19"/>
  <c r="AO4" i="19"/>
  <c r="AK5" i="19"/>
  <c r="B32" i="8"/>
  <c r="B2" i="8"/>
  <c r="BL9" i="19" s="1"/>
  <c r="BJ9" i="19" s="1"/>
  <c r="E41" i="8"/>
  <c r="B40" i="8"/>
  <c r="E34" i="8"/>
  <c r="B34" i="8" s="1"/>
  <c r="E35" i="8"/>
  <c r="B35" i="8" s="1"/>
  <c r="E31" i="8"/>
  <c r="B31" i="8" s="1"/>
  <c r="B33" i="8"/>
  <c r="E36" i="8"/>
  <c r="B36" i="8" s="1"/>
  <c r="E5" i="8"/>
  <c r="E6" i="8"/>
  <c r="E10" i="8"/>
  <c r="E37" i="8"/>
  <c r="B37" i="8" s="1"/>
  <c r="E8" i="8"/>
  <c r="E9" i="8"/>
  <c r="K58" i="4"/>
  <c r="K22" i="1" s="1"/>
  <c r="O4" i="2"/>
  <c r="P4" i="2"/>
  <c r="O5" i="2"/>
  <c r="P5" i="2"/>
  <c r="O6" i="2"/>
  <c r="P6" i="2"/>
  <c r="O7" i="2"/>
  <c r="P7" i="2"/>
  <c r="O8" i="2"/>
  <c r="D8" i="2" s="1"/>
  <c r="B8" i="2" s="1"/>
  <c r="P8" i="2"/>
  <c r="O9" i="2"/>
  <c r="P9" i="2"/>
  <c r="O10" i="2"/>
  <c r="D10" i="2" s="1"/>
  <c r="B10" i="2" s="1"/>
  <c r="P10" i="2"/>
  <c r="O11" i="2"/>
  <c r="P11" i="2"/>
  <c r="O12" i="2"/>
  <c r="D12" i="2" s="1"/>
  <c r="B12" i="2" s="1"/>
  <c r="P12" i="2"/>
  <c r="O13" i="2"/>
  <c r="P13" i="2"/>
  <c r="O14" i="2"/>
  <c r="D14" i="2" s="1"/>
  <c r="B14" i="2" s="1"/>
  <c r="P14" i="2"/>
  <c r="O15" i="2"/>
  <c r="P15" i="2"/>
  <c r="O16" i="2"/>
  <c r="D16" i="2" s="1"/>
  <c r="B16" i="2" s="1"/>
  <c r="P16" i="2"/>
  <c r="O17" i="2"/>
  <c r="P17" i="2"/>
  <c r="O18" i="2"/>
  <c r="D18" i="2" s="1"/>
  <c r="B18" i="2" s="1"/>
  <c r="P18" i="2"/>
  <c r="O19" i="2"/>
  <c r="P19" i="2"/>
  <c r="O20" i="2"/>
  <c r="D20" i="2" s="1"/>
  <c r="B20" i="2" s="1"/>
  <c r="P20" i="2"/>
  <c r="O21" i="2"/>
  <c r="P21" i="2"/>
  <c r="O22" i="2"/>
  <c r="D22" i="2" s="1"/>
  <c r="B22" i="2" s="1"/>
  <c r="P22" i="2"/>
  <c r="O23" i="2"/>
  <c r="P23" i="2"/>
  <c r="O24" i="2"/>
  <c r="D24" i="2" s="1"/>
  <c r="B24" i="2" s="1"/>
  <c r="P24" i="2"/>
  <c r="O25" i="2"/>
  <c r="P25" i="2"/>
  <c r="O26" i="2"/>
  <c r="D26" i="2" s="1"/>
  <c r="B26" i="2" s="1"/>
  <c r="P26" i="2"/>
  <c r="O27" i="2"/>
  <c r="P27" i="2"/>
  <c r="O28" i="2"/>
  <c r="D28" i="2" s="1"/>
  <c r="B28" i="2" s="1"/>
  <c r="P28" i="2"/>
  <c r="O29" i="2"/>
  <c r="P29" i="2"/>
  <c r="O30" i="2"/>
  <c r="D30" i="2" s="1"/>
  <c r="B30" i="2" s="1"/>
  <c r="P30" i="2"/>
  <c r="O31" i="2"/>
  <c r="P31" i="2"/>
  <c r="O33" i="2"/>
  <c r="D33" i="2" s="1"/>
  <c r="B33" i="2" s="1"/>
  <c r="P33" i="2"/>
  <c r="O34" i="2"/>
  <c r="P34" i="2"/>
  <c r="O35" i="2"/>
  <c r="D35" i="2" s="1"/>
  <c r="B35" i="2" s="1"/>
  <c r="P35" i="2"/>
  <c r="O36" i="2"/>
  <c r="P36" i="2"/>
  <c r="O37" i="2"/>
  <c r="D37" i="2" s="1"/>
  <c r="B37" i="2" s="1"/>
  <c r="P37" i="2"/>
  <c r="O38" i="2"/>
  <c r="P38" i="2"/>
  <c r="O39" i="2"/>
  <c r="D39" i="2" s="1"/>
  <c r="B39" i="2" s="1"/>
  <c r="P39" i="2"/>
  <c r="O40" i="2"/>
  <c r="P40" i="2"/>
  <c r="O41" i="2"/>
  <c r="D41" i="2" s="1"/>
  <c r="B41" i="2" s="1"/>
  <c r="P41" i="2"/>
  <c r="O42" i="2"/>
  <c r="P42" i="2"/>
  <c r="O43" i="2"/>
  <c r="D43" i="2" s="1"/>
  <c r="B43" i="2" s="1"/>
  <c r="P43" i="2"/>
  <c r="O44" i="2"/>
  <c r="P44" i="2"/>
  <c r="H73" i="2"/>
  <c r="K73" i="2"/>
  <c r="N73" i="2"/>
  <c r="C6" i="9"/>
  <c r="AH9" i="1"/>
  <c r="D6" i="2" l="1"/>
  <c r="B6" i="2" s="1"/>
  <c r="D4" i="2"/>
  <c r="B4" i="2" s="1"/>
  <c r="D42" i="2"/>
  <c r="B42" i="2" s="1"/>
  <c r="D36" i="2"/>
  <c r="B36" i="2" s="1"/>
  <c r="D31" i="2"/>
  <c r="B31" i="2" s="1"/>
  <c r="D27" i="2"/>
  <c r="B27" i="2" s="1"/>
  <c r="D23" i="2"/>
  <c r="B23" i="2" s="1"/>
  <c r="D21" i="2"/>
  <c r="B21" i="2" s="1"/>
  <c r="D17" i="2"/>
  <c r="B17" i="2" s="1"/>
  <c r="D15" i="2"/>
  <c r="B15" i="2" s="1"/>
  <c r="D13" i="2"/>
  <c r="B13" i="2" s="1"/>
  <c r="D11" i="2"/>
  <c r="B11" i="2" s="1"/>
  <c r="D9" i="2"/>
  <c r="B9" i="2" s="1"/>
  <c r="D7" i="2"/>
  <c r="B7" i="2" s="1"/>
  <c r="D5" i="2"/>
  <c r="B5" i="2" s="1"/>
  <c r="D44" i="2"/>
  <c r="B44" i="2" s="1"/>
  <c r="D40" i="2"/>
  <c r="B40" i="2" s="1"/>
  <c r="D38" i="2"/>
  <c r="B38" i="2" s="1"/>
  <c r="D34" i="2"/>
  <c r="B34" i="2" s="1"/>
  <c r="D29" i="2"/>
  <c r="B29" i="2" s="1"/>
  <c r="D25" i="2"/>
  <c r="B25" i="2" s="1"/>
  <c r="D19" i="2"/>
  <c r="B19" i="2" s="1"/>
  <c r="BM22" i="19"/>
  <c r="BP23" i="19"/>
  <c r="BN22" i="19" s="1"/>
  <c r="BO22" i="19" s="1"/>
  <c r="BS23" i="19"/>
  <c r="BR23" i="19"/>
  <c r="BP21" i="19"/>
  <c r="BN20" i="19" s="1"/>
  <c r="BO20" i="19" s="1"/>
  <c r="BS21" i="19"/>
  <c r="BM20" i="19"/>
  <c r="BR21" i="19"/>
  <c r="BS26" i="19"/>
  <c r="BP26" i="19"/>
  <c r="BN25" i="19" s="1"/>
  <c r="BO25" i="19" s="1"/>
  <c r="BM25" i="19"/>
  <c r="BR26" i="19"/>
  <c r="BS27" i="19"/>
  <c r="BP27" i="19"/>
  <c r="BR27" i="19"/>
  <c r="B10" i="8"/>
  <c r="BL17" i="19" s="1"/>
  <c r="BJ17" i="19" s="1"/>
  <c r="B9" i="8"/>
  <c r="BL16" i="19" s="1"/>
  <c r="BJ16" i="19" s="1"/>
  <c r="BP22" i="19"/>
  <c r="BN21" i="19" s="1"/>
  <c r="BO21" i="19" s="1"/>
  <c r="BR22" i="19"/>
  <c r="BS22" i="19"/>
  <c r="BM21" i="19"/>
  <c r="BS25" i="19"/>
  <c r="BR25" i="19"/>
  <c r="BM24" i="19"/>
  <c r="BP25" i="19"/>
  <c r="BN24" i="19" s="1"/>
  <c r="BO24" i="19" s="1"/>
  <c r="BS15" i="19"/>
  <c r="BP15" i="19"/>
  <c r="BN14" i="19" s="1"/>
  <c r="BO14" i="19" s="1"/>
  <c r="BM14" i="19"/>
  <c r="BR15" i="19"/>
  <c r="BM23" i="19"/>
  <c r="BS24" i="19"/>
  <c r="BP24" i="19"/>
  <c r="BN23" i="19" s="1"/>
  <c r="BO23" i="19" s="1"/>
  <c r="BR24" i="19"/>
  <c r="BS20" i="19"/>
  <c r="BP20" i="19"/>
  <c r="BN19" i="19" s="1"/>
  <c r="BO19" i="19" s="1"/>
  <c r="BM19" i="19"/>
  <c r="BR20" i="19"/>
  <c r="B6" i="8"/>
  <c r="BL13" i="19" s="1"/>
  <c r="BJ13" i="19" s="1"/>
  <c r="B8" i="8"/>
  <c r="BL15" i="19" s="1"/>
  <c r="BJ15" i="19" s="1"/>
  <c r="B5" i="8"/>
  <c r="BL12" i="19" s="1"/>
  <c r="BJ12" i="19" s="1"/>
  <c r="B51" i="8"/>
  <c r="F4" i="19"/>
  <c r="L5" i="19"/>
  <c r="P4" i="19"/>
  <c r="G5" i="19"/>
  <c r="BD4" i="19"/>
  <c r="K4" i="19"/>
  <c r="B5" i="19"/>
  <c r="F5" i="19" s="1"/>
  <c r="BI4" i="19"/>
  <c r="Q5" i="19"/>
  <c r="BE5" i="19"/>
  <c r="Z4" i="19"/>
  <c r="AZ5" i="19"/>
  <c r="AJ4" i="19"/>
  <c r="U4" i="19"/>
  <c r="V5" i="19"/>
  <c r="AU5" i="19"/>
  <c r="AY4" i="19"/>
  <c r="AF3" i="19"/>
  <c r="AK3" i="19" s="1"/>
  <c r="AP3" i="19" s="1"/>
  <c r="AU3" i="19" s="1"/>
  <c r="AP5" i="19"/>
  <c r="AF5" i="19"/>
  <c r="AE4" i="19"/>
  <c r="AA5" i="19"/>
  <c r="AT4" i="19"/>
  <c r="BS10" i="19"/>
  <c r="BP10" i="19"/>
  <c r="BN10" i="19" s="1"/>
  <c r="BO10" i="19" s="1"/>
  <c r="BM10" i="19"/>
  <c r="BR10" i="19"/>
  <c r="BP7" i="19"/>
  <c r="AO5" i="19"/>
  <c r="BS13" i="19"/>
  <c r="BR13" i="19"/>
  <c r="BP13" i="19"/>
  <c r="BP9" i="19"/>
  <c r="BN9" i="19" s="1"/>
  <c r="BO9" i="19" s="1"/>
  <c r="BS9" i="19"/>
  <c r="BR9" i="19"/>
  <c r="BP6" i="19"/>
  <c r="BM9" i="19"/>
  <c r="AK6" i="19"/>
  <c r="E42" i="8"/>
  <c r="B41" i="8"/>
  <c r="C1" i="5"/>
  <c r="A1" i="6" s="1"/>
  <c r="A5" i="6" s="1"/>
  <c r="AH7" i="1"/>
  <c r="AG7" i="1" s="1"/>
  <c r="AG10" i="1" s="1"/>
  <c r="AG6" i="1"/>
  <c r="BR17" i="19" l="1"/>
  <c r="BM18" i="19"/>
  <c r="BS19" i="19"/>
  <c r="BS16" i="19"/>
  <c r="BM15" i="19"/>
  <c r="BS18" i="19"/>
  <c r="BR18" i="19"/>
  <c r="BP18" i="19"/>
  <c r="BN17" i="19" s="1"/>
  <c r="BO17" i="19" s="1"/>
  <c r="BM17" i="19"/>
  <c r="BR19" i="19"/>
  <c r="BP19" i="19"/>
  <c r="BN18" i="19" s="1"/>
  <c r="BO18" i="19" s="1"/>
  <c r="G6" i="1"/>
  <c r="BM13" i="19"/>
  <c r="BP14" i="19"/>
  <c r="BN13" i="19" s="1"/>
  <c r="BO13" i="19" s="1"/>
  <c r="BS14" i="19"/>
  <c r="BR14" i="19"/>
  <c r="BS12" i="19"/>
  <c r="BM12" i="19"/>
  <c r="BP12" i="19"/>
  <c r="BN12" i="19" s="1"/>
  <c r="BO12" i="19" s="1"/>
  <c r="BR12" i="19"/>
  <c r="BP16" i="19"/>
  <c r="BN15" i="19" s="1"/>
  <c r="BO15" i="19" s="1"/>
  <c r="BR16" i="19"/>
  <c r="BS17" i="19"/>
  <c r="BP17" i="19"/>
  <c r="BN16" i="19" s="1"/>
  <c r="BO16" i="19" s="1"/>
  <c r="B54" i="8"/>
  <c r="P25" i="1" s="1"/>
  <c r="BM16" i="19"/>
  <c r="P5" i="19"/>
  <c r="BD5" i="19"/>
  <c r="L6" i="19"/>
  <c r="AZ6" i="19"/>
  <c r="AY5" i="19"/>
  <c r="B6" i="19"/>
  <c r="F6" i="19" s="1"/>
  <c r="AE5" i="19"/>
  <c r="AF6" i="19"/>
  <c r="K5" i="19"/>
  <c r="AU6" i="19"/>
  <c r="G6" i="19"/>
  <c r="AJ5" i="19"/>
  <c r="U5" i="19"/>
  <c r="BE6" i="19"/>
  <c r="V6" i="19"/>
  <c r="Z5" i="19"/>
  <c r="BI5" i="19"/>
  <c r="Q6" i="19"/>
  <c r="AP6" i="19"/>
  <c r="AT5" i="19"/>
  <c r="AA6" i="19"/>
  <c r="AO6" i="19"/>
  <c r="AK7" i="19"/>
  <c r="E43" i="8"/>
  <c r="B42" i="8"/>
  <c r="K16" i="9"/>
  <c r="L20" i="9"/>
  <c r="C4" i="9"/>
  <c r="C5" i="9" s="1"/>
  <c r="C18" i="9" s="1"/>
  <c r="O32" i="2"/>
  <c r="P32" i="2"/>
  <c r="K3" i="2"/>
  <c r="N3" i="2"/>
  <c r="H3" i="2"/>
  <c r="AM9" i="1"/>
  <c r="AN9" i="1" s="1"/>
  <c r="A2" i="6"/>
  <c r="A3" i="6" s="1"/>
  <c r="C1" i="6"/>
  <c r="F1" i="6" s="1"/>
  <c r="AM7" i="1"/>
  <c r="AM8" i="1"/>
  <c r="AM6" i="1"/>
  <c r="AH6" i="1"/>
  <c r="AG8" i="1" s="1"/>
  <c r="S15" i="1" s="1"/>
  <c r="A9" i="6"/>
  <c r="C5" i="6"/>
  <c r="A6" i="6"/>
  <c r="E3" i="2" l="1"/>
  <c r="D32" i="2"/>
  <c r="B32" i="2" s="1"/>
  <c r="P6" i="19"/>
  <c r="BD6" i="19"/>
  <c r="V7" i="19"/>
  <c r="K6" i="19"/>
  <c r="L7" i="19"/>
  <c r="AE6" i="19"/>
  <c r="U6" i="19"/>
  <c r="AZ7" i="19"/>
  <c r="AF7" i="19"/>
  <c r="G7" i="19"/>
  <c r="Z6" i="19"/>
  <c r="AJ6" i="19"/>
  <c r="B7" i="19"/>
  <c r="F7" i="19" s="1"/>
  <c r="BE7" i="19"/>
  <c r="AU7" i="19"/>
  <c r="AY6" i="19"/>
  <c r="BI6" i="19"/>
  <c r="Q7" i="19"/>
  <c r="AA7" i="19"/>
  <c r="AP7" i="19"/>
  <c r="AT6" i="19"/>
  <c r="AO7" i="19"/>
  <c r="AK8" i="19"/>
  <c r="E44" i="8"/>
  <c r="B44" i="8" s="1"/>
  <c r="B43" i="8"/>
  <c r="C29" i="9"/>
  <c r="C30" i="9" s="1"/>
  <c r="C7" i="9"/>
  <c r="C8" i="9" s="1"/>
  <c r="C40" i="9"/>
  <c r="C41" i="9" s="1"/>
  <c r="P3" i="2"/>
  <c r="O3" i="2"/>
  <c r="C2" i="6"/>
  <c r="E2" i="6" s="1"/>
  <c r="AN7" i="1"/>
  <c r="AN8" i="1"/>
  <c r="AN6" i="1"/>
  <c r="E1" i="6"/>
  <c r="D1" i="6"/>
  <c r="G1" i="6"/>
  <c r="A13" i="6"/>
  <c r="C9" i="6"/>
  <c r="A10" i="6"/>
  <c r="C6" i="6"/>
  <c r="A7" i="6"/>
  <c r="C19" i="9"/>
  <c r="A4" i="6"/>
  <c r="C4" i="6" s="1"/>
  <c r="C3" i="6"/>
  <c r="F5" i="6"/>
  <c r="G5" i="6"/>
  <c r="D5" i="6"/>
  <c r="E5" i="6"/>
  <c r="D3" i="2" l="1"/>
  <c r="AE6" i="1"/>
  <c r="AD6" i="1" s="1"/>
  <c r="BE8" i="19"/>
  <c r="BI8" i="19" s="1"/>
  <c r="Q8" i="19"/>
  <c r="V8" i="19"/>
  <c r="Z7" i="19"/>
  <c r="B8" i="19"/>
  <c r="B9" i="19" s="1"/>
  <c r="BD7" i="19"/>
  <c r="L8" i="19"/>
  <c r="AZ8" i="19"/>
  <c r="BD8" i="19" s="1"/>
  <c r="P7" i="19"/>
  <c r="G8" i="19"/>
  <c r="K7" i="19"/>
  <c r="AJ7" i="19"/>
  <c r="AF8" i="19"/>
  <c r="AU8" i="19"/>
  <c r="AU9" i="19" s="1"/>
  <c r="U7" i="19"/>
  <c r="AY7" i="19"/>
  <c r="AE7" i="19"/>
  <c r="AA8" i="19"/>
  <c r="BI7" i="19"/>
  <c r="AP8" i="19"/>
  <c r="AT7" i="19"/>
  <c r="AO8" i="19"/>
  <c r="AK9" i="19"/>
  <c r="AB6" i="1"/>
  <c r="D2" i="6"/>
  <c r="G2" i="6"/>
  <c r="F2" i="6"/>
  <c r="H1" i="6"/>
  <c r="D3" i="5" s="1"/>
  <c r="F3" i="5" s="1"/>
  <c r="C22" i="9"/>
  <c r="C23" i="9"/>
  <c r="C20" i="9"/>
  <c r="C21" i="9" s="1"/>
  <c r="C44" i="9"/>
  <c r="C45" i="9"/>
  <c r="C42" i="9"/>
  <c r="C43" i="9" s="1"/>
  <c r="C10" i="6"/>
  <c r="A11" i="6"/>
  <c r="D3" i="6"/>
  <c r="E3" i="6"/>
  <c r="F3" i="6"/>
  <c r="G3" i="6"/>
  <c r="A8" i="6"/>
  <c r="C8" i="6" s="1"/>
  <c r="C7" i="6"/>
  <c r="F9" i="6"/>
  <c r="G9" i="6"/>
  <c r="D9" i="6"/>
  <c r="E9" i="6"/>
  <c r="C12" i="9"/>
  <c r="C9" i="9"/>
  <c r="C10" i="9" s="1"/>
  <c r="C11" i="9"/>
  <c r="H5" i="6"/>
  <c r="D7" i="5" s="1"/>
  <c r="E4" i="6"/>
  <c r="F4" i="6"/>
  <c r="G4" i="6"/>
  <c r="D4" i="6"/>
  <c r="G6" i="6"/>
  <c r="D6" i="6"/>
  <c r="E6" i="6"/>
  <c r="F6" i="6"/>
  <c r="C34" i="9"/>
  <c r="C31" i="9"/>
  <c r="C32" i="9" s="1"/>
  <c r="C33" i="9"/>
  <c r="A17" i="6"/>
  <c r="C13" i="6"/>
  <c r="A14" i="6"/>
  <c r="B3" i="2" l="1"/>
  <c r="B80" i="2" s="1" a="1"/>
  <c r="B80" i="2" s="1"/>
  <c r="V9" i="19"/>
  <c r="BE9" i="19"/>
  <c r="Q9" i="19"/>
  <c r="U8" i="19"/>
  <c r="F8" i="19"/>
  <c r="Z8" i="19"/>
  <c r="AZ9" i="19"/>
  <c r="L9" i="19"/>
  <c r="P8" i="19"/>
  <c r="K8" i="19"/>
  <c r="G9" i="19"/>
  <c r="AY8" i="19"/>
  <c r="AJ8" i="19"/>
  <c r="AF9" i="19"/>
  <c r="AA9" i="19"/>
  <c r="AE8" i="19"/>
  <c r="AP9" i="19"/>
  <c r="AT8" i="19"/>
  <c r="AY9" i="19"/>
  <c r="AO9" i="19"/>
  <c r="F9" i="19"/>
  <c r="B10" i="19"/>
  <c r="AK10" i="19"/>
  <c r="AU10" i="19"/>
  <c r="H2" i="6"/>
  <c r="D4" i="5" s="1"/>
  <c r="F4" i="5" s="1"/>
  <c r="E3" i="5"/>
  <c r="G3" i="5"/>
  <c r="A21" i="6"/>
  <c r="C17" i="6"/>
  <c r="A18" i="6"/>
  <c r="H6" i="6"/>
  <c r="D8" i="5" s="1"/>
  <c r="E7" i="5"/>
  <c r="F7" i="5"/>
  <c r="G7" i="5"/>
  <c r="H9" i="6"/>
  <c r="D11" i="5" s="1"/>
  <c r="E8" i="6"/>
  <c r="F8" i="6"/>
  <c r="G8" i="6"/>
  <c r="D8" i="6"/>
  <c r="C46" i="9"/>
  <c r="C47" i="9" s="1"/>
  <c r="C49" i="9" s="1"/>
  <c r="E49" i="9" s="1"/>
  <c r="G49" i="9" s="1"/>
  <c r="H49" i="9" s="1"/>
  <c r="C35" i="9"/>
  <c r="C36" i="9" s="1"/>
  <c r="C38" i="9" s="1"/>
  <c r="E38" i="9" s="1"/>
  <c r="G38" i="9" s="1"/>
  <c r="C13" i="9"/>
  <c r="C14" i="9" s="1"/>
  <c r="C16" i="9" s="1"/>
  <c r="E16" i="9" s="1"/>
  <c r="A12" i="6"/>
  <c r="C12" i="6" s="1"/>
  <c r="C11" i="6"/>
  <c r="C14" i="6"/>
  <c r="A15" i="6"/>
  <c r="H4" i="6"/>
  <c r="D6" i="5" s="1"/>
  <c r="H3" i="6"/>
  <c r="D5" i="5" s="1"/>
  <c r="G10" i="6"/>
  <c r="D10" i="6"/>
  <c r="E10" i="6"/>
  <c r="F10" i="6"/>
  <c r="F13" i="6"/>
  <c r="G13" i="6"/>
  <c r="D13" i="6"/>
  <c r="E13" i="6"/>
  <c r="D7" i="6"/>
  <c r="E7" i="6"/>
  <c r="F7" i="6"/>
  <c r="G7" i="6"/>
  <c r="C24" i="9"/>
  <c r="C25" i="9" s="1"/>
  <c r="C27" i="9" s="1"/>
  <c r="E27" i="9" s="1"/>
  <c r="G27" i="9" s="1"/>
  <c r="B75" i="2" l="1" a="1"/>
  <c r="B75" i="2" s="1"/>
  <c r="B77" i="2" a="1"/>
  <c r="B77" i="2" s="1"/>
  <c r="B79" i="2" a="1"/>
  <c r="B79" i="2" s="1"/>
  <c r="B81" i="2" a="1"/>
  <c r="B81" i="2" s="1"/>
  <c r="B74" i="2" a="1"/>
  <c r="B74" i="2" s="1"/>
  <c r="B76" i="2" a="1"/>
  <c r="B76" i="2" s="1"/>
  <c r="B78" i="2" a="1"/>
  <c r="B78" i="2" s="1"/>
  <c r="H38" i="9"/>
  <c r="H27" i="9"/>
  <c r="Z9" i="19"/>
  <c r="U9" i="19"/>
  <c r="Q10" i="19"/>
  <c r="BE10" i="19"/>
  <c r="V10" i="19"/>
  <c r="BI9" i="19"/>
  <c r="P9" i="19"/>
  <c r="K9" i="19"/>
  <c r="AZ10" i="19"/>
  <c r="BD9" i="19"/>
  <c r="L10" i="19"/>
  <c r="G10" i="19"/>
  <c r="AA10" i="19"/>
  <c r="AF10" i="19"/>
  <c r="AJ9" i="19"/>
  <c r="AE9" i="19"/>
  <c r="G16" i="9"/>
  <c r="AP10" i="19"/>
  <c r="AT9" i="19"/>
  <c r="AY10" i="19"/>
  <c r="AO10" i="19"/>
  <c r="F10" i="19"/>
  <c r="AU11" i="19"/>
  <c r="AK11" i="19"/>
  <c r="B11" i="19"/>
  <c r="L19" i="9"/>
  <c r="K20" i="9"/>
  <c r="I20" i="9" s="1"/>
  <c r="L18" i="9"/>
  <c r="K19" i="9"/>
  <c r="L17" i="9"/>
  <c r="K18" i="9"/>
  <c r="E4" i="5"/>
  <c r="G4" i="5"/>
  <c r="B3" i="5"/>
  <c r="H7" i="6"/>
  <c r="D9" i="5" s="1"/>
  <c r="G9" i="5" s="1"/>
  <c r="H10" i="6"/>
  <c r="D12" i="5" s="1"/>
  <c r="F12" i="5" s="1"/>
  <c r="F6" i="5"/>
  <c r="G6" i="5"/>
  <c r="E6" i="5"/>
  <c r="E11" i="5"/>
  <c r="F11" i="5"/>
  <c r="G11" i="5"/>
  <c r="B7" i="5"/>
  <c r="C18" i="6"/>
  <c r="A19" i="6"/>
  <c r="H13" i="6"/>
  <c r="D15" i="5" s="1"/>
  <c r="A16" i="6"/>
  <c r="C16" i="6" s="1"/>
  <c r="C15" i="6"/>
  <c r="D11" i="6"/>
  <c r="E11" i="6"/>
  <c r="F11" i="6"/>
  <c r="G11" i="6"/>
  <c r="F17" i="6"/>
  <c r="G17" i="6"/>
  <c r="D17" i="6"/>
  <c r="E17" i="6"/>
  <c r="G14" i="6"/>
  <c r="D14" i="6"/>
  <c r="E14" i="6"/>
  <c r="F14" i="6"/>
  <c r="E12" i="6"/>
  <c r="F12" i="6"/>
  <c r="G12" i="6"/>
  <c r="D12" i="6"/>
  <c r="H8" i="6"/>
  <c r="D10" i="5" s="1"/>
  <c r="A25" i="6"/>
  <c r="C21" i="6"/>
  <c r="A22" i="6"/>
  <c r="G5" i="5"/>
  <c r="E5" i="5"/>
  <c r="F5" i="5"/>
  <c r="E8" i="5"/>
  <c r="F8" i="5"/>
  <c r="G8" i="5"/>
  <c r="C76" i="2" l="1"/>
  <c r="I76" i="2" s="1"/>
  <c r="C74" i="2"/>
  <c r="I74" i="2" s="1"/>
  <c r="C81" i="2"/>
  <c r="F81" i="2" s="1"/>
  <c r="C75" i="2"/>
  <c r="I75" i="2" s="1"/>
  <c r="C77" i="2"/>
  <c r="F77" i="2" s="1"/>
  <c r="C78" i="2"/>
  <c r="L78" i="2" s="1"/>
  <c r="C79" i="2"/>
  <c r="L79" i="2" s="1"/>
  <c r="C80" i="2"/>
  <c r="F80" i="2" s="1"/>
  <c r="BD10" i="19"/>
  <c r="H16" i="9"/>
  <c r="K15" i="1" s="1"/>
  <c r="BE11" i="19"/>
  <c r="G11" i="19"/>
  <c r="Z10" i="19"/>
  <c r="U10" i="19"/>
  <c r="Q11" i="19"/>
  <c r="V11" i="19"/>
  <c r="AZ11" i="19"/>
  <c r="BI10" i="19"/>
  <c r="K10" i="19"/>
  <c r="L11" i="19"/>
  <c r="P10" i="19"/>
  <c r="AA11" i="19"/>
  <c r="AJ10" i="19"/>
  <c r="AF11" i="19"/>
  <c r="AE10" i="19"/>
  <c r="L16" i="9"/>
  <c r="I16" i="9" s="1"/>
  <c r="K17" i="9"/>
  <c r="I17" i="9" s="1"/>
  <c r="AP11" i="19"/>
  <c r="AT10" i="19"/>
  <c r="AY11" i="19"/>
  <c r="AO11" i="19"/>
  <c r="F11" i="19"/>
  <c r="B12" i="19"/>
  <c r="AK12" i="19"/>
  <c r="AU12" i="19"/>
  <c r="I19" i="9"/>
  <c r="I18" i="9"/>
  <c r="B4" i="5"/>
  <c r="E12" i="5"/>
  <c r="G12" i="5"/>
  <c r="B11" i="5"/>
  <c r="F9" i="5"/>
  <c r="E9" i="5"/>
  <c r="H17" i="6"/>
  <c r="D19" i="5" s="1"/>
  <c r="E19" i="5" s="1"/>
  <c r="E15" i="5"/>
  <c r="F15" i="5"/>
  <c r="G15" i="5"/>
  <c r="B8" i="5"/>
  <c r="C22" i="6"/>
  <c r="A23" i="6"/>
  <c r="H14" i="6"/>
  <c r="D16" i="5" s="1"/>
  <c r="A20" i="6"/>
  <c r="C20" i="6" s="1"/>
  <c r="C19" i="6"/>
  <c r="F10" i="5"/>
  <c r="G10" i="5"/>
  <c r="E10" i="5"/>
  <c r="B5" i="5"/>
  <c r="F21" i="6"/>
  <c r="G21" i="6"/>
  <c r="D21" i="6"/>
  <c r="E21" i="6"/>
  <c r="D15" i="6"/>
  <c r="E15" i="6"/>
  <c r="F15" i="6"/>
  <c r="G15" i="6"/>
  <c r="G18" i="6"/>
  <c r="D18" i="6"/>
  <c r="E18" i="6"/>
  <c r="F18" i="6"/>
  <c r="B6" i="5"/>
  <c r="A29" i="6"/>
  <c r="C25" i="6"/>
  <c r="A26" i="6"/>
  <c r="H12" i="6"/>
  <c r="D14" i="5" s="1"/>
  <c r="H11" i="6"/>
  <c r="D13" i="5" s="1"/>
  <c r="E16" i="6"/>
  <c r="F16" i="6"/>
  <c r="G16" i="6"/>
  <c r="D16" i="6"/>
  <c r="I22" i="9" l="1"/>
  <c r="I24" i="9" s="1"/>
  <c r="C4" i="1" s="1"/>
  <c r="D74" i="2"/>
  <c r="D76" i="2"/>
  <c r="L77" i="2"/>
  <c r="M77" i="2" s="1"/>
  <c r="F76" i="2"/>
  <c r="G76" i="2" s="1"/>
  <c r="P76" i="2" s="1"/>
  <c r="L76" i="2"/>
  <c r="M76" i="2" s="1"/>
  <c r="E81" i="2"/>
  <c r="D77" i="2"/>
  <c r="L81" i="2"/>
  <c r="M81" i="2" s="1"/>
  <c r="I77" i="2"/>
  <c r="K77" i="2" s="1"/>
  <c r="F78" i="2"/>
  <c r="H78" i="2" s="1"/>
  <c r="F74" i="2"/>
  <c r="G74" i="2" s="1"/>
  <c r="O74" i="2" s="1"/>
  <c r="F75" i="2"/>
  <c r="G75" i="2" s="1"/>
  <c r="H75" i="2" s="1"/>
  <c r="L74" i="2"/>
  <c r="M74" i="2" s="1"/>
  <c r="D79" i="2"/>
  <c r="I81" i="2"/>
  <c r="J81" i="2" s="1"/>
  <c r="I80" i="2"/>
  <c r="K80" i="2" s="1"/>
  <c r="L75" i="2"/>
  <c r="M75" i="2" s="1"/>
  <c r="D75" i="2"/>
  <c r="L80" i="2"/>
  <c r="M80" i="2" s="1"/>
  <c r="D81" i="2"/>
  <c r="I78" i="2"/>
  <c r="J78" i="2" s="1"/>
  <c r="D78" i="2"/>
  <c r="I79" i="2"/>
  <c r="J79" i="2" s="1"/>
  <c r="F79" i="2"/>
  <c r="P79" i="2" s="1"/>
  <c r="D80" i="2"/>
  <c r="H81" i="2"/>
  <c r="G81" i="2"/>
  <c r="O80" i="2"/>
  <c r="G80" i="2"/>
  <c r="P80" i="2"/>
  <c r="H80" i="2"/>
  <c r="M78" i="2"/>
  <c r="N78" i="2"/>
  <c r="G77" i="2"/>
  <c r="P77" i="2" s="1"/>
  <c r="K76" i="2"/>
  <c r="J76" i="2"/>
  <c r="N79" i="2"/>
  <c r="M79" i="2"/>
  <c r="J75" i="2"/>
  <c r="K75" i="2"/>
  <c r="J74" i="2"/>
  <c r="K74" i="2" s="1"/>
  <c r="E80" i="2"/>
  <c r="K14" i="1"/>
  <c r="BI11" i="19"/>
  <c r="AA12" i="19"/>
  <c r="BD11" i="19"/>
  <c r="Q12" i="19"/>
  <c r="AZ12" i="19"/>
  <c r="G12" i="19"/>
  <c r="K11" i="19"/>
  <c r="BE12" i="19"/>
  <c r="U11" i="19"/>
  <c r="V12" i="19"/>
  <c r="Z11" i="19"/>
  <c r="AF12" i="19"/>
  <c r="P11" i="19"/>
  <c r="L12" i="19"/>
  <c r="AE11" i="19"/>
  <c r="AJ11" i="19"/>
  <c r="AP12" i="19"/>
  <c r="AT11" i="19"/>
  <c r="AY12" i="19"/>
  <c r="AO12" i="19"/>
  <c r="F12" i="19"/>
  <c r="AU13" i="19"/>
  <c r="B13" i="19"/>
  <c r="AK13" i="19"/>
  <c r="B12" i="5"/>
  <c r="G19" i="5"/>
  <c r="F19" i="5"/>
  <c r="B9" i="5"/>
  <c r="H21" i="6"/>
  <c r="D23" i="5" s="1"/>
  <c r="G23" i="5" s="1"/>
  <c r="H18" i="6"/>
  <c r="D20" i="5" s="1"/>
  <c r="F20" i="5" s="1"/>
  <c r="G22" i="6"/>
  <c r="D22" i="6"/>
  <c r="E22" i="6"/>
  <c r="F22" i="6"/>
  <c r="H15" i="6"/>
  <c r="D17" i="5" s="1"/>
  <c r="D19" i="6"/>
  <c r="E19" i="6"/>
  <c r="F19" i="6"/>
  <c r="G19" i="6"/>
  <c r="F14" i="5"/>
  <c r="G14" i="5"/>
  <c r="E14" i="5"/>
  <c r="H16" i="6"/>
  <c r="D18" i="5" s="1"/>
  <c r="C26" i="6"/>
  <c r="A27" i="6"/>
  <c r="E20" i="6"/>
  <c r="F20" i="6"/>
  <c r="G20" i="6"/>
  <c r="D20" i="6"/>
  <c r="E16" i="5"/>
  <c r="F16" i="5"/>
  <c r="G16" i="5"/>
  <c r="B15" i="5"/>
  <c r="G13" i="5"/>
  <c r="E13" i="5"/>
  <c r="F13" i="5"/>
  <c r="A33" i="6"/>
  <c r="C29" i="6"/>
  <c r="A30" i="6"/>
  <c r="F25" i="6"/>
  <c r="G25" i="6"/>
  <c r="D25" i="6"/>
  <c r="E25" i="6"/>
  <c r="B10" i="5"/>
  <c r="A24" i="6"/>
  <c r="C24" i="6" s="1"/>
  <c r="C23" i="6"/>
  <c r="N77" i="2" l="1"/>
  <c r="J77" i="2"/>
  <c r="N76" i="2"/>
  <c r="E78" i="2"/>
  <c r="P78" i="2"/>
  <c r="N81" i="2"/>
  <c r="G78" i="2"/>
  <c r="O78" i="2"/>
  <c r="J80" i="2"/>
  <c r="N74" i="2"/>
  <c r="N75" i="2"/>
  <c r="K79" i="2"/>
  <c r="K81" i="2"/>
  <c r="K6" i="1"/>
  <c r="N80" i="2"/>
  <c r="K78" i="2"/>
  <c r="O79" i="2"/>
  <c r="H79" i="2"/>
  <c r="E79" i="2"/>
  <c r="G79" i="2"/>
  <c r="H74" i="2"/>
  <c r="P75" i="2"/>
  <c r="O76" i="2"/>
  <c r="P74" i="2"/>
  <c r="O77" i="2"/>
  <c r="H76" i="2"/>
  <c r="E76" i="2" s="1"/>
  <c r="H77" i="2"/>
  <c r="E77" i="2" s="1"/>
  <c r="O75" i="2"/>
  <c r="E75" i="2"/>
  <c r="U12" i="19"/>
  <c r="AE12" i="19"/>
  <c r="AZ13" i="19"/>
  <c r="BD13" i="19" s="1"/>
  <c r="AA13" i="19"/>
  <c r="AE13" i="19" s="1"/>
  <c r="BE13" i="19"/>
  <c r="BI13" i="19" s="1"/>
  <c r="Q13" i="19"/>
  <c r="BI12" i="19"/>
  <c r="BD12" i="19"/>
  <c r="Z12" i="19"/>
  <c r="K12" i="19"/>
  <c r="G13" i="19"/>
  <c r="V13" i="19"/>
  <c r="P12" i="19"/>
  <c r="AF13" i="19"/>
  <c r="AJ12" i="19"/>
  <c r="L13" i="19"/>
  <c r="AP13" i="19"/>
  <c r="AT12" i="19"/>
  <c r="AY13" i="19"/>
  <c r="AO13" i="19"/>
  <c r="F13" i="19"/>
  <c r="AK14" i="19"/>
  <c r="AU14" i="19"/>
  <c r="B14" i="19"/>
  <c r="B19" i="5"/>
  <c r="F23" i="5"/>
  <c r="H25" i="6"/>
  <c r="D27" i="5" s="1"/>
  <c r="G27" i="5" s="1"/>
  <c r="E20" i="5"/>
  <c r="G20" i="5"/>
  <c r="E23" i="5"/>
  <c r="H19" i="6"/>
  <c r="D21" i="5" s="1"/>
  <c r="F21" i="5" s="1"/>
  <c r="B14" i="5"/>
  <c r="D23" i="6"/>
  <c r="E23" i="6"/>
  <c r="F23" i="6"/>
  <c r="G23" i="6"/>
  <c r="B16" i="5"/>
  <c r="H20" i="6"/>
  <c r="D22" i="5" s="1"/>
  <c r="C30" i="6"/>
  <c r="A31" i="6"/>
  <c r="F18" i="5"/>
  <c r="G18" i="5"/>
  <c r="E18" i="5"/>
  <c r="F29" i="6"/>
  <c r="G29" i="6"/>
  <c r="D29" i="6"/>
  <c r="E29" i="6"/>
  <c r="B13" i="5"/>
  <c r="A28" i="6"/>
  <c r="C28" i="6" s="1"/>
  <c r="C27" i="6"/>
  <c r="E24" i="6"/>
  <c r="F24" i="6"/>
  <c r="G24" i="6"/>
  <c r="D24" i="6"/>
  <c r="A37" i="6"/>
  <c r="C33" i="6"/>
  <c r="A34" i="6"/>
  <c r="G26" i="6"/>
  <c r="D26" i="6"/>
  <c r="E26" i="6"/>
  <c r="F26" i="6"/>
  <c r="G17" i="5"/>
  <c r="E17" i="5"/>
  <c r="F17" i="5"/>
  <c r="H22" i="6"/>
  <c r="D24" i="5" s="1"/>
  <c r="E74" i="2" l="1"/>
  <c r="Q14" i="19"/>
  <c r="U14" i="19" s="1"/>
  <c r="BE14" i="19"/>
  <c r="BI14" i="19" s="1"/>
  <c r="AA14" i="19"/>
  <c r="AZ14" i="19"/>
  <c r="BD14" i="19" s="1"/>
  <c r="U13" i="19"/>
  <c r="P13" i="19"/>
  <c r="V14" i="19"/>
  <c r="Z13" i="19"/>
  <c r="K13" i="19"/>
  <c r="G14" i="19"/>
  <c r="L14" i="19"/>
  <c r="AF14" i="19"/>
  <c r="AJ13" i="19"/>
  <c r="AP14" i="19"/>
  <c r="AT13" i="19"/>
  <c r="AY14" i="19"/>
  <c r="AO14" i="19"/>
  <c r="F14" i="19"/>
  <c r="AU15" i="19"/>
  <c r="AK15" i="19"/>
  <c r="B15" i="19"/>
  <c r="B23" i="5"/>
  <c r="F27" i="5"/>
  <c r="E27" i="5"/>
  <c r="G21" i="5"/>
  <c r="B20" i="5"/>
  <c r="B18" i="5"/>
  <c r="E21" i="5"/>
  <c r="H26" i="6"/>
  <c r="D28" i="5" s="1"/>
  <c r="F28" i="5" s="1"/>
  <c r="H24" i="6"/>
  <c r="D26" i="5" s="1"/>
  <c r="E26" i="5" s="1"/>
  <c r="H23" i="6"/>
  <c r="D25" i="5" s="1"/>
  <c r="F25" i="5" s="1"/>
  <c r="A41" i="6"/>
  <c r="A38" i="6"/>
  <c r="C37" i="6"/>
  <c r="H29" i="6"/>
  <c r="D31" i="5" s="1"/>
  <c r="F22" i="5"/>
  <c r="G22" i="5"/>
  <c r="E22" i="5"/>
  <c r="A32" i="6"/>
  <c r="C32" i="6" s="1"/>
  <c r="C31" i="6"/>
  <c r="B17" i="5"/>
  <c r="C34" i="6"/>
  <c r="A35" i="6"/>
  <c r="D27" i="6"/>
  <c r="E27" i="6"/>
  <c r="F27" i="6"/>
  <c r="G27" i="6"/>
  <c r="G30" i="6"/>
  <c r="D30" i="6"/>
  <c r="E30" i="6"/>
  <c r="F30" i="6"/>
  <c r="E24" i="5"/>
  <c r="F24" i="5"/>
  <c r="G24" i="5"/>
  <c r="F33" i="6"/>
  <c r="G33" i="6"/>
  <c r="D33" i="6"/>
  <c r="E33" i="6"/>
  <c r="E28" i="6"/>
  <c r="F28" i="6"/>
  <c r="G28" i="6"/>
  <c r="D28" i="6"/>
  <c r="Q15" i="19" l="1"/>
  <c r="AZ15" i="19"/>
  <c r="AA15" i="19"/>
  <c r="AE14" i="19"/>
  <c r="BE15" i="19"/>
  <c r="Z14" i="19"/>
  <c r="V15" i="19"/>
  <c r="AF15" i="19"/>
  <c r="AJ14" i="19"/>
  <c r="P14" i="19"/>
  <c r="L15" i="19"/>
  <c r="K14" i="19"/>
  <c r="G15" i="19"/>
  <c r="AT14" i="19"/>
  <c r="AP15" i="19"/>
  <c r="AY15" i="19"/>
  <c r="AO15" i="19"/>
  <c r="F15" i="19"/>
  <c r="AU16" i="19"/>
  <c r="B16" i="19"/>
  <c r="AK16" i="19"/>
  <c r="B21" i="5"/>
  <c r="B27" i="5"/>
  <c r="E25" i="5"/>
  <c r="G25" i="5"/>
  <c r="E28" i="5"/>
  <c r="G28" i="5"/>
  <c r="G26" i="5"/>
  <c r="F26" i="5"/>
  <c r="B22" i="5"/>
  <c r="H28" i="6"/>
  <c r="D30" i="5" s="1"/>
  <c r="H33" i="6"/>
  <c r="D35" i="5" s="1"/>
  <c r="H27" i="6"/>
  <c r="D29" i="5" s="1"/>
  <c r="B24" i="5"/>
  <c r="F37" i="6"/>
  <c r="D37" i="6"/>
  <c r="E37" i="6"/>
  <c r="G37" i="6"/>
  <c r="C35" i="6"/>
  <c r="A36" i="6"/>
  <c r="C36" i="6" s="1"/>
  <c r="D31" i="6"/>
  <c r="E31" i="6"/>
  <c r="F31" i="6"/>
  <c r="G31" i="6"/>
  <c r="C38" i="6"/>
  <c r="A39" i="6"/>
  <c r="H30" i="6"/>
  <c r="D32" i="5" s="1"/>
  <c r="G34" i="6"/>
  <c r="D34" i="6"/>
  <c r="E34" i="6"/>
  <c r="F34" i="6"/>
  <c r="E32" i="6"/>
  <c r="F32" i="6"/>
  <c r="G32" i="6"/>
  <c r="D32" i="6"/>
  <c r="E31" i="5"/>
  <c r="F31" i="5"/>
  <c r="G31" i="5"/>
  <c r="A45" i="6"/>
  <c r="A42" i="6"/>
  <c r="C41" i="6"/>
  <c r="Q16" i="19" l="1"/>
  <c r="Q17" i="19" s="1"/>
  <c r="U15" i="19"/>
  <c r="BD15" i="19"/>
  <c r="AA16" i="19"/>
  <c r="AZ16" i="19"/>
  <c r="AE15" i="19"/>
  <c r="V16" i="19"/>
  <c r="BE16" i="19"/>
  <c r="BI15" i="19"/>
  <c r="P15" i="19"/>
  <c r="Z15" i="19"/>
  <c r="G16" i="19"/>
  <c r="AF16" i="19"/>
  <c r="AJ15" i="19"/>
  <c r="K15" i="19"/>
  <c r="AP16" i="19"/>
  <c r="AT15" i="19"/>
  <c r="L16" i="19"/>
  <c r="AY16" i="19"/>
  <c r="AO16" i="19"/>
  <c r="F16" i="19"/>
  <c r="AU17" i="19"/>
  <c r="AK17" i="19"/>
  <c r="B17" i="19"/>
  <c r="B25" i="5"/>
  <c r="B28" i="5"/>
  <c r="B26" i="5"/>
  <c r="B31" i="5"/>
  <c r="F41" i="6"/>
  <c r="D41" i="6"/>
  <c r="E41" i="6"/>
  <c r="G41" i="6"/>
  <c r="G38" i="6"/>
  <c r="E38" i="6"/>
  <c r="F38" i="6"/>
  <c r="D38" i="6"/>
  <c r="E36" i="6"/>
  <c r="G36" i="6"/>
  <c r="D36" i="6"/>
  <c r="F36" i="6"/>
  <c r="C42" i="6"/>
  <c r="A43" i="6"/>
  <c r="A49" i="6"/>
  <c r="A46" i="6"/>
  <c r="C45" i="6"/>
  <c r="H34" i="6"/>
  <c r="D36" i="5" s="1"/>
  <c r="E32" i="5"/>
  <c r="F32" i="5"/>
  <c r="G32" i="5"/>
  <c r="H31" i="6"/>
  <c r="D33" i="5" s="1"/>
  <c r="D35" i="6"/>
  <c r="F35" i="6"/>
  <c r="E35" i="6"/>
  <c r="G35" i="6"/>
  <c r="H37" i="6"/>
  <c r="D39" i="5" s="1"/>
  <c r="E35" i="5"/>
  <c r="F35" i="5"/>
  <c r="G35" i="5"/>
  <c r="H32" i="6"/>
  <c r="D34" i="5" s="1"/>
  <c r="A40" i="6"/>
  <c r="C40" i="6" s="1"/>
  <c r="C39" i="6"/>
  <c r="G29" i="5"/>
  <c r="E29" i="5"/>
  <c r="F29" i="5"/>
  <c r="F30" i="5"/>
  <c r="G30" i="5"/>
  <c r="E30" i="5"/>
  <c r="U16" i="19" l="1"/>
  <c r="AA17" i="19"/>
  <c r="Z16" i="19"/>
  <c r="AZ17" i="19"/>
  <c r="AE16" i="19"/>
  <c r="V17" i="19"/>
  <c r="BI16" i="19"/>
  <c r="BD16" i="19"/>
  <c r="BE17" i="19"/>
  <c r="AF17" i="19"/>
  <c r="L17" i="19"/>
  <c r="P16" i="19"/>
  <c r="G17" i="19"/>
  <c r="AJ16" i="19"/>
  <c r="K16" i="19"/>
  <c r="AT16" i="19"/>
  <c r="AP17" i="19"/>
  <c r="U17" i="19"/>
  <c r="AY17" i="19"/>
  <c r="AO17" i="19"/>
  <c r="F17" i="19"/>
  <c r="AK18" i="19"/>
  <c r="B18" i="19"/>
  <c r="AU18" i="19"/>
  <c r="Q18" i="19"/>
  <c r="B35" i="5"/>
  <c r="B32" i="5"/>
  <c r="B30" i="5"/>
  <c r="B29" i="5"/>
  <c r="D39" i="6"/>
  <c r="F39" i="6"/>
  <c r="G39" i="6"/>
  <c r="E39" i="6"/>
  <c r="C43" i="6"/>
  <c r="A44" i="6"/>
  <c r="C44" i="6" s="1"/>
  <c r="H41" i="6"/>
  <c r="D43" i="5" s="1"/>
  <c r="E40" i="6"/>
  <c r="G40" i="6"/>
  <c r="D40" i="6"/>
  <c r="F40" i="6"/>
  <c r="H35" i="6"/>
  <c r="D37" i="5" s="1"/>
  <c r="F45" i="6"/>
  <c r="D45" i="6"/>
  <c r="E45" i="6"/>
  <c r="G45" i="6"/>
  <c r="G42" i="6"/>
  <c r="E42" i="6"/>
  <c r="D42" i="6"/>
  <c r="F42" i="6"/>
  <c r="H38" i="6"/>
  <c r="D40" i="5" s="1"/>
  <c r="E39" i="5"/>
  <c r="F39" i="5"/>
  <c r="G39" i="5"/>
  <c r="C46" i="6"/>
  <c r="A47" i="6"/>
  <c r="F34" i="5"/>
  <c r="G34" i="5"/>
  <c r="E34" i="5"/>
  <c r="G33" i="5"/>
  <c r="E33" i="5"/>
  <c r="F33" i="5"/>
  <c r="E36" i="5"/>
  <c r="F36" i="5"/>
  <c r="G36" i="5"/>
  <c r="C49" i="6"/>
  <c r="A50" i="6"/>
  <c r="A53" i="6"/>
  <c r="H36" i="6"/>
  <c r="D38" i="5" s="1"/>
  <c r="AA18" i="19" l="1"/>
  <c r="AE17" i="19"/>
  <c r="BI17" i="19"/>
  <c r="BD17" i="19"/>
  <c r="V18" i="19"/>
  <c r="Z17" i="19"/>
  <c r="AZ18" i="19"/>
  <c r="AJ17" i="19"/>
  <c r="AF18" i="19"/>
  <c r="BE18" i="19"/>
  <c r="L18" i="19"/>
  <c r="G18" i="19"/>
  <c r="AP18" i="19"/>
  <c r="AT17" i="19"/>
  <c r="K17" i="19"/>
  <c r="P17" i="19"/>
  <c r="U18" i="19"/>
  <c r="AY18" i="19"/>
  <c r="AO18" i="19"/>
  <c r="F18" i="19"/>
  <c r="AU19" i="19"/>
  <c r="AK19" i="19"/>
  <c r="Q19" i="19"/>
  <c r="B19" i="19"/>
  <c r="D49" i="6"/>
  <c r="G49" i="6"/>
  <c r="E49" i="6"/>
  <c r="F49" i="6"/>
  <c r="G46" i="6"/>
  <c r="E46" i="6"/>
  <c r="F46" i="6"/>
  <c r="D46" i="6"/>
  <c r="H45" i="6"/>
  <c r="D47" i="5" s="1"/>
  <c r="E44" i="6"/>
  <c r="G44" i="6"/>
  <c r="D44" i="6"/>
  <c r="F44" i="6"/>
  <c r="H39" i="6"/>
  <c r="D41" i="5" s="1"/>
  <c r="B36" i="5"/>
  <c r="C53" i="6"/>
  <c r="A54" i="6"/>
  <c r="B33" i="5"/>
  <c r="B39" i="5"/>
  <c r="H42" i="6"/>
  <c r="D44" i="5" s="1"/>
  <c r="G37" i="5"/>
  <c r="E37" i="5"/>
  <c r="F37" i="5"/>
  <c r="E43" i="5"/>
  <c r="F43" i="5"/>
  <c r="G43" i="5"/>
  <c r="D43" i="6"/>
  <c r="F43" i="6"/>
  <c r="E43" i="6"/>
  <c r="G43" i="6"/>
  <c r="A51" i="6"/>
  <c r="C50" i="6"/>
  <c r="B34" i="5"/>
  <c r="F38" i="5"/>
  <c r="G38" i="5"/>
  <c r="E38" i="5"/>
  <c r="A48" i="6"/>
  <c r="C48" i="6" s="1"/>
  <c r="C47" i="6"/>
  <c r="E40" i="5"/>
  <c r="F40" i="5"/>
  <c r="G40" i="5"/>
  <c r="H40" i="6"/>
  <c r="D42" i="5" s="1"/>
  <c r="Z18" i="19" l="1"/>
  <c r="AE18" i="19"/>
  <c r="V19" i="19"/>
  <c r="AA19" i="19"/>
  <c r="BD18" i="19"/>
  <c r="AF19" i="19"/>
  <c r="AZ19" i="19"/>
  <c r="BE19" i="19"/>
  <c r="BI18" i="19"/>
  <c r="AJ18" i="19"/>
  <c r="AP19" i="19"/>
  <c r="P18" i="19"/>
  <c r="AT18" i="19"/>
  <c r="L19" i="19"/>
  <c r="K18" i="19"/>
  <c r="G19" i="19"/>
  <c r="U19" i="19"/>
  <c r="AY19" i="19"/>
  <c r="AO19" i="19"/>
  <c r="F19" i="19"/>
  <c r="AU20" i="19"/>
  <c r="AK20" i="19"/>
  <c r="Q20" i="19"/>
  <c r="B20" i="19"/>
  <c r="H49" i="6"/>
  <c r="D51" i="5" s="1"/>
  <c r="E51" i="5" s="1"/>
  <c r="B37" i="5"/>
  <c r="H44" i="6"/>
  <c r="D46" i="5" s="1"/>
  <c r="G46" i="5" s="1"/>
  <c r="B40" i="5"/>
  <c r="E48" i="6"/>
  <c r="G48" i="6"/>
  <c r="D48" i="6"/>
  <c r="F48" i="6"/>
  <c r="D50" i="6"/>
  <c r="E50" i="6"/>
  <c r="F50" i="6"/>
  <c r="G50" i="6"/>
  <c r="H43" i="6"/>
  <c r="D45" i="5" s="1"/>
  <c r="E44" i="5"/>
  <c r="F44" i="5"/>
  <c r="G44" i="5"/>
  <c r="G53" i="6"/>
  <c r="D53" i="6"/>
  <c r="E53" i="6"/>
  <c r="F53" i="6"/>
  <c r="B38" i="5"/>
  <c r="A52" i="6"/>
  <c r="C52" i="6" s="1"/>
  <c r="C51" i="6"/>
  <c r="H46" i="6"/>
  <c r="D48" i="5" s="1"/>
  <c r="F42" i="5"/>
  <c r="G42" i="5"/>
  <c r="E42" i="5"/>
  <c r="D47" i="6"/>
  <c r="F47" i="6"/>
  <c r="G47" i="6"/>
  <c r="E47" i="6"/>
  <c r="B43" i="5"/>
  <c r="G41" i="5"/>
  <c r="E41" i="5"/>
  <c r="F41" i="5"/>
  <c r="A55" i="6"/>
  <c r="C54" i="6"/>
  <c r="E47" i="5"/>
  <c r="F47" i="5"/>
  <c r="G47" i="5"/>
  <c r="V20" i="19" l="1"/>
  <c r="V21" i="19" s="1"/>
  <c r="AA20" i="19"/>
  <c r="AE20" i="19" s="1"/>
  <c r="Z19" i="19"/>
  <c r="BE20" i="19"/>
  <c r="BI20" i="19" s="1"/>
  <c r="BI19" i="19"/>
  <c r="AE19" i="19"/>
  <c r="AF20" i="19"/>
  <c r="AJ20" i="19" s="1"/>
  <c r="AZ20" i="19"/>
  <c r="BD19" i="19"/>
  <c r="AJ19" i="19"/>
  <c r="AP20" i="19"/>
  <c r="AT19" i="19"/>
  <c r="K19" i="19"/>
  <c r="L20" i="19"/>
  <c r="P19" i="19"/>
  <c r="G20" i="19"/>
  <c r="U20" i="19"/>
  <c r="AY20" i="19"/>
  <c r="AO20" i="19"/>
  <c r="F20" i="19"/>
  <c r="AU21" i="19"/>
  <c r="B21" i="19"/>
  <c r="Q21" i="19"/>
  <c r="AK21" i="19"/>
  <c r="E46" i="5"/>
  <c r="F51" i="5"/>
  <c r="G51" i="5"/>
  <c r="F46" i="5"/>
  <c r="H47" i="6"/>
  <c r="D49" i="5" s="1"/>
  <c r="G49" i="5" s="1"/>
  <c r="B44" i="5"/>
  <c r="B42" i="5"/>
  <c r="F52" i="6"/>
  <c r="G52" i="6"/>
  <c r="D52" i="6"/>
  <c r="E52" i="6"/>
  <c r="G45" i="5"/>
  <c r="E45" i="5"/>
  <c r="F45" i="5"/>
  <c r="A56" i="6"/>
  <c r="C56" i="6" s="1"/>
  <c r="C55" i="6"/>
  <c r="H53" i="6"/>
  <c r="D55" i="5" s="1"/>
  <c r="B47" i="5"/>
  <c r="E48" i="5"/>
  <c r="F48" i="5"/>
  <c r="G48" i="5"/>
  <c r="H50" i="6"/>
  <c r="D52" i="5" s="1"/>
  <c r="H48" i="6"/>
  <c r="D50" i="5" s="1"/>
  <c r="D54" i="6"/>
  <c r="E54" i="6"/>
  <c r="F54" i="6"/>
  <c r="G54" i="6"/>
  <c r="B41" i="5"/>
  <c r="E51" i="6"/>
  <c r="F51" i="6"/>
  <c r="G51" i="6"/>
  <c r="D51" i="6"/>
  <c r="BE21" i="19" l="1"/>
  <c r="Z20" i="19"/>
  <c r="AA21" i="19"/>
  <c r="AF21" i="19"/>
  <c r="AZ21" i="19"/>
  <c r="BD20" i="19"/>
  <c r="P20" i="19"/>
  <c r="AT20" i="19"/>
  <c r="AP21" i="19"/>
  <c r="L21" i="19"/>
  <c r="G21" i="19"/>
  <c r="K20" i="19"/>
  <c r="U21" i="19"/>
  <c r="AY21" i="19"/>
  <c r="AO21" i="19"/>
  <c r="Z21" i="19"/>
  <c r="F21" i="19"/>
  <c r="AK22" i="19"/>
  <c r="AU22" i="19"/>
  <c r="B22" i="19"/>
  <c r="V22" i="19"/>
  <c r="Q22" i="19"/>
  <c r="B46" i="5"/>
  <c r="B51" i="5"/>
  <c r="E49" i="5"/>
  <c r="F49" i="5"/>
  <c r="E52" i="5"/>
  <c r="F52" i="5"/>
  <c r="G52" i="5"/>
  <c r="E55" i="5"/>
  <c r="F55" i="5"/>
  <c r="G55" i="5"/>
  <c r="E55" i="6"/>
  <c r="F55" i="6"/>
  <c r="G55" i="6"/>
  <c r="D55" i="6"/>
  <c r="B45" i="5"/>
  <c r="H52" i="6"/>
  <c r="D54" i="5" s="1"/>
  <c r="H51" i="6"/>
  <c r="D53" i="5" s="1"/>
  <c r="H54" i="6"/>
  <c r="D56" i="5" s="1"/>
  <c r="F50" i="5"/>
  <c r="G50" i="5"/>
  <c r="E50" i="5"/>
  <c r="B48" i="5"/>
  <c r="F56" i="6"/>
  <c r="G56" i="6"/>
  <c r="D56" i="6"/>
  <c r="E56" i="6"/>
  <c r="BE22" i="19" l="1"/>
  <c r="BI21" i="19"/>
  <c r="AE21" i="19"/>
  <c r="AJ21" i="19"/>
  <c r="AZ22" i="19"/>
  <c r="AF22" i="19"/>
  <c r="AA22" i="19"/>
  <c r="BD21" i="19"/>
  <c r="P21" i="19"/>
  <c r="AP22" i="19"/>
  <c r="AT21" i="19"/>
  <c r="L22" i="19"/>
  <c r="G22" i="19"/>
  <c r="K21" i="19"/>
  <c r="U22" i="19"/>
  <c r="AY22" i="19"/>
  <c r="AO22" i="19"/>
  <c r="Z22" i="19"/>
  <c r="F22" i="19"/>
  <c r="B23" i="19"/>
  <c r="V23" i="19"/>
  <c r="AK23" i="19"/>
  <c r="Q23" i="19"/>
  <c r="AU23" i="19"/>
  <c r="B49" i="5"/>
  <c r="B50" i="5"/>
  <c r="H56" i="6"/>
  <c r="D58" i="5" s="1"/>
  <c r="G58" i="5" s="1"/>
  <c r="E56" i="5"/>
  <c r="F56" i="5"/>
  <c r="G56" i="5"/>
  <c r="G53" i="5"/>
  <c r="E53" i="5"/>
  <c r="F53" i="5"/>
  <c r="F54" i="5"/>
  <c r="G54" i="5"/>
  <c r="E54" i="5"/>
  <c r="H55" i="6"/>
  <c r="D57" i="5" s="1"/>
  <c r="B55" i="5"/>
  <c r="B52" i="5"/>
  <c r="AZ23" i="19" l="1"/>
  <c r="AZ24" i="19" s="1"/>
  <c r="BI22" i="19"/>
  <c r="BE23" i="19"/>
  <c r="AJ22" i="19"/>
  <c r="BD22" i="19"/>
  <c r="AF23" i="19"/>
  <c r="AE22" i="19"/>
  <c r="AA23" i="19"/>
  <c r="AP23" i="19"/>
  <c r="G23" i="19"/>
  <c r="K22" i="19"/>
  <c r="AT22" i="19"/>
  <c r="L23" i="19"/>
  <c r="P22" i="19"/>
  <c r="U23" i="19"/>
  <c r="AY23" i="19"/>
  <c r="AO23" i="19"/>
  <c r="Z23" i="19"/>
  <c r="F23" i="19"/>
  <c r="B24" i="19"/>
  <c r="AU24" i="19"/>
  <c r="AK24" i="19"/>
  <c r="Q24" i="19"/>
  <c r="V24" i="19"/>
  <c r="E58" i="5"/>
  <c r="F58" i="5"/>
  <c r="B56" i="5"/>
  <c r="G57" i="5"/>
  <c r="E57" i="5"/>
  <c r="F57" i="5"/>
  <c r="B53" i="5"/>
  <c r="B54" i="5"/>
  <c r="BD23" i="19" l="1"/>
  <c r="BI23" i="19"/>
  <c r="BE24" i="19"/>
  <c r="AJ23" i="19"/>
  <c r="AF24" i="19"/>
  <c r="AA24" i="19"/>
  <c r="AA25" i="19" s="1"/>
  <c r="AT23" i="19"/>
  <c r="AE23" i="19"/>
  <c r="AP24" i="19"/>
  <c r="G24" i="19"/>
  <c r="K23" i="19"/>
  <c r="L24" i="19"/>
  <c r="P23" i="19"/>
  <c r="BD24" i="19"/>
  <c r="U24" i="19"/>
  <c r="AY24" i="19"/>
  <c r="AO24" i="19"/>
  <c r="Z24" i="19"/>
  <c r="F24" i="19"/>
  <c r="V25" i="19"/>
  <c r="AU25" i="19"/>
  <c r="B25" i="19"/>
  <c r="AK25" i="19"/>
  <c r="Q25" i="19"/>
  <c r="AZ25" i="19"/>
  <c r="B58" i="5"/>
  <c r="B57" i="5"/>
  <c r="BE25" i="19" l="1"/>
  <c r="BI24" i="19"/>
  <c r="AE24" i="19"/>
  <c r="AF25" i="19"/>
  <c r="AT24" i="19"/>
  <c r="AP25" i="19"/>
  <c r="AT25" i="19" s="1"/>
  <c r="AJ24" i="19"/>
  <c r="K24" i="19"/>
  <c r="G25" i="19"/>
  <c r="L25" i="19"/>
  <c r="P24" i="19"/>
  <c r="AR20" i="19"/>
  <c r="AC24" i="19"/>
  <c r="D21" i="19"/>
  <c r="AW20" i="19"/>
  <c r="AM22" i="19"/>
  <c r="D5" i="19"/>
  <c r="I4" i="19"/>
  <c r="D12" i="19"/>
  <c r="S4" i="19"/>
  <c r="N13" i="19"/>
  <c r="I11" i="19"/>
  <c r="S12" i="19"/>
  <c r="N5" i="19"/>
  <c r="X12" i="19"/>
  <c r="X19" i="19"/>
  <c r="AC17" i="19"/>
  <c r="AH16" i="19"/>
  <c r="I19" i="19"/>
  <c r="N21" i="19"/>
  <c r="S19" i="19"/>
  <c r="AH23" i="19"/>
  <c r="X25" i="19"/>
  <c r="AM23" i="19"/>
  <c r="BB23" i="19"/>
  <c r="BB25" i="19"/>
  <c r="BB24" i="19"/>
  <c r="BB4" i="19"/>
  <c r="BB6" i="19"/>
  <c r="BB9" i="19"/>
  <c r="BB8" i="19"/>
  <c r="BB10" i="19"/>
  <c r="BB7" i="19"/>
  <c r="BB5" i="19"/>
  <c r="BB11" i="19"/>
  <c r="BB13" i="19"/>
  <c r="BB12" i="19"/>
  <c r="BB15" i="19"/>
  <c r="BB14" i="19"/>
  <c r="BB16" i="19"/>
  <c r="BB18" i="19"/>
  <c r="BB17" i="19"/>
  <c r="BB19" i="19"/>
  <c r="BB20" i="19"/>
  <c r="BB21" i="19"/>
  <c r="BB22" i="19"/>
  <c r="BD25" i="19"/>
  <c r="AR24" i="19"/>
  <c r="AC21" i="19"/>
  <c r="AR4" i="19"/>
  <c r="AR11" i="19"/>
  <c r="AR10" i="19"/>
  <c r="AR8" i="19"/>
  <c r="AR5" i="19"/>
  <c r="AR7" i="19"/>
  <c r="AR6" i="19"/>
  <c r="AR9" i="19"/>
  <c r="AR13" i="19"/>
  <c r="AR12" i="19"/>
  <c r="AR14" i="19"/>
  <c r="AR15" i="19"/>
  <c r="AR17" i="19"/>
  <c r="AR16" i="19"/>
  <c r="AR18" i="19"/>
  <c r="AR19" i="19"/>
  <c r="AR21" i="19"/>
  <c r="AR22" i="19"/>
  <c r="AR23" i="19"/>
  <c r="AC4" i="19"/>
  <c r="AC11" i="19"/>
  <c r="AC10" i="19"/>
  <c r="AC8" i="19"/>
  <c r="AC5" i="19"/>
  <c r="AC6" i="19"/>
  <c r="AC7" i="19"/>
  <c r="AC9" i="19"/>
  <c r="AC13" i="19"/>
  <c r="AC12" i="19"/>
  <c r="AC15" i="19"/>
  <c r="AC14" i="19"/>
  <c r="AC16" i="19"/>
  <c r="AC18" i="19"/>
  <c r="AC20" i="19"/>
  <c r="AC19" i="19"/>
  <c r="AC25" i="19"/>
  <c r="AC23" i="19"/>
  <c r="AC22" i="19"/>
  <c r="AE25" i="19"/>
  <c r="U25" i="19"/>
  <c r="S25" i="19"/>
  <c r="S24" i="19"/>
  <c r="S22" i="19"/>
  <c r="S9" i="19"/>
  <c r="S10" i="19"/>
  <c r="S8" i="19"/>
  <c r="S7" i="19"/>
  <c r="S6" i="19"/>
  <c r="S5" i="19"/>
  <c r="S11" i="19"/>
  <c r="S13" i="19"/>
  <c r="S16" i="19"/>
  <c r="S14" i="19"/>
  <c r="S15" i="19"/>
  <c r="S18" i="19"/>
  <c r="S17" i="19"/>
  <c r="S20" i="19"/>
  <c r="S23" i="19"/>
  <c r="S21" i="19"/>
  <c r="I21" i="19"/>
  <c r="I24" i="19"/>
  <c r="I10" i="19"/>
  <c r="I8" i="19"/>
  <c r="I9" i="19"/>
  <c r="I7" i="19"/>
  <c r="I5" i="19"/>
  <c r="I6" i="19"/>
  <c r="I12" i="19"/>
  <c r="I14" i="19"/>
  <c r="I13" i="19"/>
  <c r="I15" i="19"/>
  <c r="I16" i="19"/>
  <c r="I18" i="19"/>
  <c r="I17" i="19"/>
  <c r="I20" i="19"/>
  <c r="I23" i="19"/>
  <c r="I22" i="19"/>
  <c r="BG22" i="19"/>
  <c r="BG11" i="19"/>
  <c r="BG6" i="19"/>
  <c r="BG7" i="19"/>
  <c r="BG4" i="19"/>
  <c r="BG8" i="19"/>
  <c r="BG5" i="19"/>
  <c r="BG9" i="19"/>
  <c r="BG10" i="19"/>
  <c r="BG12" i="19"/>
  <c r="BG14" i="19"/>
  <c r="BG13" i="19"/>
  <c r="BG15" i="19"/>
  <c r="BG16" i="19"/>
  <c r="BG17" i="19"/>
  <c r="BG19" i="19"/>
  <c r="BG18" i="19"/>
  <c r="BG20" i="19"/>
  <c r="BG21" i="19"/>
  <c r="BG24" i="19"/>
  <c r="BG23" i="19"/>
  <c r="AW25" i="19"/>
  <c r="AW24" i="19"/>
  <c r="AW4" i="19"/>
  <c r="AW11" i="19"/>
  <c r="AW7" i="19"/>
  <c r="AW8" i="19"/>
  <c r="AW5" i="19"/>
  <c r="AW6" i="19"/>
  <c r="AW9" i="19"/>
  <c r="AW10" i="19"/>
  <c r="AW13" i="19"/>
  <c r="AW12" i="19"/>
  <c r="AW15" i="19"/>
  <c r="AW14" i="19"/>
  <c r="AW16" i="19"/>
  <c r="AW17" i="19"/>
  <c r="AW18" i="19"/>
  <c r="AW19" i="19"/>
  <c r="AW21" i="19"/>
  <c r="AW22" i="19"/>
  <c r="AW23" i="19"/>
  <c r="AY25" i="19"/>
  <c r="AM25" i="19"/>
  <c r="AM24" i="19"/>
  <c r="AM4" i="19"/>
  <c r="AM11" i="19"/>
  <c r="AM9" i="19"/>
  <c r="AM8" i="19"/>
  <c r="AM10" i="19"/>
  <c r="AM5" i="19"/>
  <c r="AM6" i="19"/>
  <c r="AM7" i="19"/>
  <c r="AM13" i="19"/>
  <c r="AM12" i="19"/>
  <c r="AM14" i="19"/>
  <c r="AM15" i="19"/>
  <c r="AM17" i="19"/>
  <c r="AM16" i="19"/>
  <c r="AM18" i="19"/>
  <c r="AM19" i="19"/>
  <c r="AM21" i="19"/>
  <c r="AM20" i="19"/>
  <c r="AO25" i="19"/>
  <c r="AH4" i="19"/>
  <c r="AH11" i="19"/>
  <c r="AH7" i="19"/>
  <c r="AH8" i="19"/>
  <c r="AH5" i="19"/>
  <c r="AH6" i="19"/>
  <c r="AH9" i="19"/>
  <c r="AH10" i="19"/>
  <c r="AH13" i="19"/>
  <c r="AH12" i="19"/>
  <c r="AH14" i="19"/>
  <c r="AH15" i="19"/>
  <c r="AH17" i="19"/>
  <c r="AH19" i="19"/>
  <c r="AH18" i="19"/>
  <c r="AH21" i="19"/>
  <c r="AH20" i="19"/>
  <c r="X24" i="19"/>
  <c r="AH24" i="19"/>
  <c r="AH22" i="19"/>
  <c r="X21" i="19"/>
  <c r="X9" i="19"/>
  <c r="X6" i="19"/>
  <c r="X5" i="19"/>
  <c r="X10" i="19"/>
  <c r="X8" i="19"/>
  <c r="X11" i="19"/>
  <c r="X4" i="19"/>
  <c r="X7" i="19"/>
  <c r="X13" i="19"/>
  <c r="X14" i="19"/>
  <c r="X15" i="19"/>
  <c r="X16" i="19"/>
  <c r="X17" i="19"/>
  <c r="X18" i="19"/>
  <c r="X20" i="19"/>
  <c r="X23" i="19"/>
  <c r="X22" i="19"/>
  <c r="Z25" i="19"/>
  <c r="D23" i="19"/>
  <c r="N23" i="19"/>
  <c r="N4" i="19"/>
  <c r="N11" i="19"/>
  <c r="N10" i="19"/>
  <c r="N6" i="19"/>
  <c r="N9" i="19"/>
  <c r="N8" i="19"/>
  <c r="N7" i="19"/>
  <c r="N12" i="19"/>
  <c r="N14" i="19"/>
  <c r="N16" i="19"/>
  <c r="N15" i="19"/>
  <c r="N17" i="19"/>
  <c r="N19" i="19"/>
  <c r="N18" i="19"/>
  <c r="N20" i="19"/>
  <c r="N24" i="19"/>
  <c r="N22" i="19"/>
  <c r="D22" i="19"/>
  <c r="D24" i="19"/>
  <c r="F25" i="19"/>
  <c r="D25" i="19"/>
  <c r="D7" i="19"/>
  <c r="D6" i="19"/>
  <c r="D8" i="19"/>
  <c r="D10" i="19"/>
  <c r="D9" i="19"/>
  <c r="D11" i="19"/>
  <c r="D14" i="19"/>
  <c r="D13" i="19"/>
  <c r="D15" i="19"/>
  <c r="D16" i="19"/>
  <c r="D17" i="19"/>
  <c r="D18" i="19"/>
  <c r="D19" i="19"/>
  <c r="D20" i="19"/>
  <c r="D4" i="19"/>
  <c r="AZ26" i="19"/>
  <c r="AA26" i="19"/>
  <c r="B26" i="19"/>
  <c r="V26" i="19"/>
  <c r="AU26" i="19"/>
  <c r="Q26" i="19"/>
  <c r="AK26" i="19"/>
  <c r="F6" i="1"/>
  <c r="Z6" i="1"/>
  <c r="D7" i="1"/>
  <c r="K7" i="1" s="1"/>
  <c r="BE26" i="19" l="1"/>
  <c r="BG25" i="19"/>
  <c r="BI25" i="19"/>
  <c r="AF26" i="19"/>
  <c r="AJ26" i="19" s="1"/>
  <c r="AJ25" i="19"/>
  <c r="AH25" i="19"/>
  <c r="AP26" i="19"/>
  <c r="AT26" i="19" s="1"/>
  <c r="AR25" i="19"/>
  <c r="I25" i="19"/>
  <c r="N25" i="19"/>
  <c r="L26" i="19"/>
  <c r="P25" i="19"/>
  <c r="K25" i="19"/>
  <c r="G26" i="19"/>
  <c r="E7" i="1"/>
  <c r="AE7" i="1"/>
  <c r="AD7" i="1" s="1"/>
  <c r="BB26" i="19"/>
  <c r="AC26" i="19"/>
  <c r="AW26" i="19"/>
  <c r="AM26" i="19"/>
  <c r="X26" i="19"/>
  <c r="BD26" i="19"/>
  <c r="AE26" i="19"/>
  <c r="U26" i="19"/>
  <c r="S26" i="19"/>
  <c r="AY26" i="19"/>
  <c r="AO26" i="19"/>
  <c r="Z26" i="19"/>
  <c r="F26" i="19"/>
  <c r="D26" i="19"/>
  <c r="B27" i="19"/>
  <c r="AU27" i="19"/>
  <c r="V27" i="19"/>
  <c r="AZ27" i="19"/>
  <c r="Q27" i="19"/>
  <c r="AA27" i="19"/>
  <c r="AK27" i="19"/>
  <c r="F7" i="1"/>
  <c r="H7" i="1"/>
  <c r="G7" i="1"/>
  <c r="AB7" i="1"/>
  <c r="X7" i="1" s="1"/>
  <c r="AA6" i="1"/>
  <c r="X6" i="1"/>
  <c r="Z7" i="1"/>
  <c r="D8" i="1"/>
  <c r="K8" i="1" s="1"/>
  <c r="AR26" i="19" l="1"/>
  <c r="BI26" i="19"/>
  <c r="BG26" i="19"/>
  <c r="BE27" i="19"/>
  <c r="BG27" i="19" s="1"/>
  <c r="AH26" i="19"/>
  <c r="AF27" i="19"/>
  <c r="AH27" i="19" s="1"/>
  <c r="AP27" i="19"/>
  <c r="AR27" i="19" s="1"/>
  <c r="G27" i="19"/>
  <c r="I26" i="19"/>
  <c r="K26" i="19"/>
  <c r="P26" i="19"/>
  <c r="L27" i="19"/>
  <c r="N26" i="19"/>
  <c r="E8" i="1"/>
  <c r="AE8" i="1"/>
  <c r="AD8" i="1" s="1"/>
  <c r="BB27" i="19"/>
  <c r="AC27" i="19"/>
  <c r="AW27" i="19"/>
  <c r="AM27" i="19"/>
  <c r="X27" i="19"/>
  <c r="BD27" i="19"/>
  <c r="AE27" i="19"/>
  <c r="U27" i="19"/>
  <c r="S27" i="19"/>
  <c r="AY27" i="19"/>
  <c r="AO27" i="19"/>
  <c r="Z27" i="19"/>
  <c r="F27" i="19"/>
  <c r="D27" i="19"/>
  <c r="V28" i="19"/>
  <c r="AA28" i="19"/>
  <c r="AZ28" i="19"/>
  <c r="AK28" i="19"/>
  <c r="B28" i="19"/>
  <c r="Q28" i="19"/>
  <c r="AU28" i="19"/>
  <c r="F8" i="1"/>
  <c r="H8" i="1"/>
  <c r="G8" i="1"/>
  <c r="AB8" i="1"/>
  <c r="X8" i="1" s="1"/>
  <c r="AA7" i="1"/>
  <c r="Z8" i="1"/>
  <c r="D9" i="1"/>
  <c r="K9" i="1" s="1"/>
  <c r="BE28" i="19" l="1"/>
  <c r="BE29" i="19" s="1"/>
  <c r="BI27" i="19"/>
  <c r="AF28" i="19"/>
  <c r="AH28" i="19" s="1"/>
  <c r="AP28" i="19"/>
  <c r="AR28" i="19" s="1"/>
  <c r="AT27" i="19"/>
  <c r="AJ27" i="19"/>
  <c r="I27" i="19"/>
  <c r="N27" i="19"/>
  <c r="G28" i="19"/>
  <c r="K27" i="19"/>
  <c r="L28" i="19"/>
  <c r="P27" i="19"/>
  <c r="E9" i="1"/>
  <c r="AE9" i="1"/>
  <c r="AD9" i="1" s="1"/>
  <c r="BB28" i="19"/>
  <c r="AC28" i="19"/>
  <c r="AW28" i="19"/>
  <c r="AM28" i="19"/>
  <c r="X28" i="19"/>
  <c r="BD28" i="19"/>
  <c r="AE28" i="19"/>
  <c r="U28" i="19"/>
  <c r="S28" i="19"/>
  <c r="AY28" i="19"/>
  <c r="AO28" i="19"/>
  <c r="Z28" i="19"/>
  <c r="F28" i="19"/>
  <c r="D28" i="19"/>
  <c r="AA29" i="19"/>
  <c r="B29" i="19"/>
  <c r="AZ29" i="19"/>
  <c r="AU29" i="19"/>
  <c r="Q29" i="19"/>
  <c r="AK29" i="19"/>
  <c r="V29" i="19"/>
  <c r="F9" i="1"/>
  <c r="H9" i="1"/>
  <c r="G9" i="1"/>
  <c r="AB9" i="1"/>
  <c r="AA8" i="1"/>
  <c r="Z9" i="1"/>
  <c r="D10" i="1"/>
  <c r="K10" i="1" s="1"/>
  <c r="BI28" i="19" l="1"/>
  <c r="BG28" i="19"/>
  <c r="AF29" i="19"/>
  <c r="AH29" i="19" s="1"/>
  <c r="I28" i="19"/>
  <c r="G29" i="19"/>
  <c r="K28" i="19"/>
  <c r="AP29" i="19"/>
  <c r="AR29" i="19" s="1"/>
  <c r="AJ28" i="19"/>
  <c r="AT28" i="19"/>
  <c r="N28" i="19"/>
  <c r="L29" i="19"/>
  <c r="P28" i="19"/>
  <c r="E10" i="1"/>
  <c r="AE10" i="1"/>
  <c r="AD10" i="1" s="1"/>
  <c r="BB29" i="19"/>
  <c r="AC29" i="19"/>
  <c r="BG29" i="19"/>
  <c r="AW29" i="19"/>
  <c r="AM29" i="19"/>
  <c r="X29" i="19"/>
  <c r="BD29" i="19"/>
  <c r="AE29" i="19"/>
  <c r="U29" i="19"/>
  <c r="S29" i="19"/>
  <c r="BI29" i="19"/>
  <c r="AY29" i="19"/>
  <c r="AO29" i="19"/>
  <c r="Z29" i="19"/>
  <c r="F29" i="19"/>
  <c r="D29" i="19"/>
  <c r="AU30" i="19"/>
  <c r="AA30" i="19"/>
  <c r="V30" i="19"/>
  <c r="BE30" i="19"/>
  <c r="Q30" i="19"/>
  <c r="B30" i="19"/>
  <c r="AK30" i="19"/>
  <c r="AZ30" i="19"/>
  <c r="F10" i="1"/>
  <c r="H10" i="1"/>
  <c r="G10" i="1"/>
  <c r="AB10" i="1"/>
  <c r="AA9" i="1"/>
  <c r="X9" i="1"/>
  <c r="Z10" i="1"/>
  <c r="D11" i="1"/>
  <c r="K11" i="1" s="1"/>
  <c r="AJ29" i="19" l="1"/>
  <c r="AF30" i="19"/>
  <c r="AJ30" i="19" s="1"/>
  <c r="G30" i="19"/>
  <c r="I29" i="19"/>
  <c r="K29" i="19"/>
  <c r="N29" i="19"/>
  <c r="AT29" i="19"/>
  <c r="AP30" i="19"/>
  <c r="AR30" i="19" s="1"/>
  <c r="L30" i="19"/>
  <c r="P29" i="19"/>
  <c r="E11" i="1"/>
  <c r="AE11" i="1"/>
  <c r="AD11" i="1" s="1"/>
  <c r="BB30" i="19"/>
  <c r="AC30" i="19"/>
  <c r="BG30" i="19"/>
  <c r="AW30" i="19"/>
  <c r="AM30" i="19"/>
  <c r="X30" i="19"/>
  <c r="BD30" i="19"/>
  <c r="AE30" i="19"/>
  <c r="U30" i="19"/>
  <c r="S30" i="19"/>
  <c r="BI30" i="19"/>
  <c r="AY30" i="19"/>
  <c r="AO30" i="19"/>
  <c r="Z30" i="19"/>
  <c r="F30" i="19"/>
  <c r="D30" i="19"/>
  <c r="B31" i="19"/>
  <c r="AZ31" i="19"/>
  <c r="V31" i="19"/>
  <c r="AK31" i="19"/>
  <c r="BE31" i="19"/>
  <c r="AU31" i="19"/>
  <c r="Q31" i="19"/>
  <c r="AA31" i="19"/>
  <c r="F11" i="1"/>
  <c r="H11" i="1"/>
  <c r="G11" i="1"/>
  <c r="AB11" i="1"/>
  <c r="AA10" i="1"/>
  <c r="X10" i="1"/>
  <c r="Z11" i="1"/>
  <c r="D12" i="1"/>
  <c r="K12" i="1" s="1"/>
  <c r="AF31" i="19" l="1"/>
  <c r="AH31" i="19" s="1"/>
  <c r="AH30" i="19"/>
  <c r="G31" i="19"/>
  <c r="K30" i="19"/>
  <c r="I30" i="19"/>
  <c r="N30" i="19"/>
  <c r="AT30" i="19"/>
  <c r="AP31" i="19"/>
  <c r="AT31" i="19" s="1"/>
  <c r="L31" i="19"/>
  <c r="P30" i="19"/>
  <c r="E12" i="1"/>
  <c r="AE12" i="1"/>
  <c r="AD12" i="1" s="1"/>
  <c r="BB31" i="19"/>
  <c r="AC31" i="19"/>
  <c r="BG31" i="19"/>
  <c r="AW31" i="19"/>
  <c r="AM31" i="19"/>
  <c r="X31" i="19"/>
  <c r="BD31" i="19"/>
  <c r="AE31" i="19"/>
  <c r="U31" i="19"/>
  <c r="S31" i="19"/>
  <c r="BI31" i="19"/>
  <c r="AY31" i="19"/>
  <c r="AO31" i="19"/>
  <c r="Z31" i="19"/>
  <c r="F31" i="19"/>
  <c r="D31" i="19"/>
  <c r="AA32" i="19"/>
  <c r="AU32" i="19"/>
  <c r="AZ32" i="19"/>
  <c r="BE32" i="19"/>
  <c r="V32" i="19"/>
  <c r="B32" i="19"/>
  <c r="Q32" i="19"/>
  <c r="AK32" i="19"/>
  <c r="F12" i="1"/>
  <c r="H12" i="1"/>
  <c r="G12" i="1"/>
  <c r="AB12" i="1"/>
  <c r="AP9" i="1"/>
  <c r="AP7" i="1"/>
  <c r="AP6" i="1"/>
  <c r="AP8" i="1"/>
  <c r="AA11" i="1"/>
  <c r="X11" i="1"/>
  <c r="Z12" i="1"/>
  <c r="AF32" i="19" l="1"/>
  <c r="AH32" i="19" s="1"/>
  <c r="I31" i="19"/>
  <c r="AJ31" i="19"/>
  <c r="G35" i="19"/>
  <c r="G32" i="19" s="1"/>
  <c r="K31" i="19"/>
  <c r="AP32" i="19"/>
  <c r="AP33" i="19" s="1"/>
  <c r="N31" i="19"/>
  <c r="P31" i="19"/>
  <c r="AR31" i="19"/>
  <c r="L32" i="19"/>
  <c r="BB32" i="19"/>
  <c r="AC32" i="19"/>
  <c r="BG32" i="19"/>
  <c r="AW32" i="19"/>
  <c r="AM32" i="19"/>
  <c r="X32" i="19"/>
  <c r="BD32" i="19"/>
  <c r="AE32" i="19"/>
  <c r="U32" i="19"/>
  <c r="S32" i="19"/>
  <c r="BI32" i="19"/>
  <c r="AY32" i="19"/>
  <c r="AO32" i="19"/>
  <c r="Z32" i="19"/>
  <c r="F32" i="19"/>
  <c r="D32" i="19"/>
  <c r="V33" i="19"/>
  <c r="B33" i="19"/>
  <c r="BE33" i="19"/>
  <c r="AA33" i="19"/>
  <c r="Q33" i="19"/>
  <c r="AU33" i="19"/>
  <c r="AK33" i="19"/>
  <c r="AZ33" i="19"/>
  <c r="AF7" i="1" a="1"/>
  <c r="AF7" i="1" s="1"/>
  <c r="P23" i="1" s="1"/>
  <c r="R23" i="1" s="1"/>
  <c r="AF8" i="1" a="1"/>
  <c r="AF8" i="1" s="1"/>
  <c r="P24" i="1" s="1"/>
  <c r="R24" i="1" s="1"/>
  <c r="AF6" i="1" a="1"/>
  <c r="AF6" i="1" s="1"/>
  <c r="P22" i="1" s="1"/>
  <c r="R22" i="1" s="1"/>
  <c r="AP10" i="1"/>
  <c r="AQ9" i="1"/>
  <c r="AQ8" i="1"/>
  <c r="AQ7" i="1"/>
  <c r="AA12" i="1"/>
  <c r="X12" i="1"/>
  <c r="X14" i="1" s="1"/>
  <c r="AJ32" i="19" l="1"/>
  <c r="AF33" i="19"/>
  <c r="AH33" i="19" s="1"/>
  <c r="AR32" i="19"/>
  <c r="I32" i="19"/>
  <c r="AT32" i="19"/>
  <c r="K32" i="19"/>
  <c r="P32" i="19"/>
  <c r="L33" i="19"/>
  <c r="N32" i="19"/>
  <c r="R25" i="1"/>
  <c r="P21" i="1" s="1"/>
  <c r="BB33" i="19"/>
  <c r="AR33" i="19"/>
  <c r="AC33" i="19"/>
  <c r="BG33" i="19"/>
  <c r="AW33" i="19"/>
  <c r="AM33" i="19"/>
  <c r="X33" i="19"/>
  <c r="BD33" i="19"/>
  <c r="AT33" i="19"/>
  <c r="AE33" i="19"/>
  <c r="U33" i="19"/>
  <c r="S33" i="19"/>
  <c r="BI33" i="19"/>
  <c r="AY33" i="19"/>
  <c r="AO33" i="19"/>
  <c r="AJ33" i="19"/>
  <c r="Z33" i="19"/>
  <c r="F33" i="19"/>
  <c r="D33" i="19"/>
  <c r="BE34" i="19"/>
  <c r="AU34" i="19"/>
  <c r="AF34" i="19"/>
  <c r="AK34" i="19"/>
  <c r="V34" i="19"/>
  <c r="B34" i="19"/>
  <c r="AC6" i="1" a="1"/>
  <c r="AC6" i="1" s="1"/>
  <c r="AC20" i="1" a="1"/>
  <c r="AC20" i="1" s="1"/>
  <c r="AC8" i="1" a="1"/>
  <c r="AC8" i="1" s="1"/>
  <c r="AC7" i="1" a="1"/>
  <c r="AC7" i="1" s="1"/>
  <c r="AC18" i="1" a="1"/>
  <c r="AC18" i="1" s="1"/>
  <c r="AC19" i="1" a="1"/>
  <c r="AC19" i="1" s="1"/>
  <c r="AC21" i="1" a="1"/>
  <c r="AC21" i="1" s="1"/>
  <c r="AQ6" i="1"/>
  <c r="L34" i="19" l="1"/>
  <c r="P33" i="19"/>
  <c r="N33" i="19"/>
  <c r="BG34" i="19"/>
  <c r="AW34" i="19"/>
  <c r="AM34" i="19"/>
  <c r="AH34" i="19"/>
  <c r="X34" i="19"/>
  <c r="BI34" i="19"/>
  <c r="AY34" i="19"/>
  <c r="AO34" i="19"/>
  <c r="AJ34" i="19"/>
  <c r="Z34" i="19"/>
  <c r="F34" i="19"/>
  <c r="D34" i="19"/>
  <c r="P16" i="1"/>
  <c r="R16" i="1" s="1"/>
  <c r="P17" i="1"/>
  <c r="R17" i="1" s="1"/>
  <c r="P15" i="1"/>
  <c r="R15" i="1" s="1"/>
  <c r="P20" i="1"/>
  <c r="R18" i="1" l="1"/>
  <c r="P14" i="1" s="1"/>
  <c r="P34" i="19"/>
  <c r="N34" i="19"/>
  <c r="Q6" i="1" l="1"/>
  <c r="Q7" i="1"/>
  <c r="Q8" i="1"/>
  <c r="Q9" i="1"/>
  <c r="Q10" i="1"/>
  <c r="Q11" i="1"/>
  <c r="Q12" i="1"/>
  <c r="K37" i="21" l="1"/>
  <c r="L37" i="21" s="1"/>
  <c r="K31" i="21"/>
  <c r="L31" i="21" s="1"/>
  <c r="K27" i="21"/>
  <c r="L27" i="21" s="1"/>
  <c r="K23" i="21"/>
  <c r="L23" i="21" s="1"/>
  <c r="K19" i="21"/>
  <c r="L19" i="21" s="1"/>
  <c r="K15" i="21"/>
  <c r="L15" i="21" s="1"/>
  <c r="K11" i="21"/>
  <c r="L11" i="21" s="1"/>
  <c r="K9" i="21"/>
  <c r="L9" i="21" s="1"/>
  <c r="K74" i="21"/>
  <c r="L74" i="21" s="1"/>
  <c r="K64" i="21"/>
  <c r="L64" i="21" s="1"/>
  <c r="K60" i="21"/>
  <c r="L60" i="21" s="1"/>
  <c r="K56" i="21"/>
  <c r="L56" i="21" s="1"/>
  <c r="K52" i="21"/>
  <c r="L52" i="21" s="1"/>
  <c r="K48" i="21"/>
  <c r="L48" i="21" s="1"/>
  <c r="K44" i="21"/>
  <c r="L44" i="21" s="1"/>
  <c r="K40" i="21"/>
  <c r="L40" i="21" s="1"/>
  <c r="K36" i="21"/>
  <c r="L36" i="21" s="1"/>
  <c r="K32" i="21"/>
  <c r="L32" i="21" s="1"/>
  <c r="K28" i="21"/>
  <c r="L28" i="21" s="1"/>
  <c r="K24" i="21"/>
  <c r="L24" i="21" s="1"/>
  <c r="K20" i="21"/>
  <c r="L20" i="21" s="1"/>
  <c r="K16" i="21"/>
  <c r="L16" i="21" s="1"/>
  <c r="K12" i="21"/>
  <c r="L12" i="21" s="1"/>
  <c r="K8" i="21"/>
  <c r="L8" i="21" s="1"/>
  <c r="K103" i="21"/>
  <c r="L103" i="21" s="1"/>
  <c r="K101" i="21"/>
  <c r="L101" i="21" s="1"/>
  <c r="K99" i="21"/>
  <c r="L99" i="21" s="1"/>
  <c r="K97" i="21"/>
  <c r="L97" i="21" s="1"/>
  <c r="K95" i="21"/>
  <c r="L95" i="21" s="1"/>
  <c r="K93" i="21"/>
  <c r="L93" i="21" s="1"/>
  <c r="K91" i="21"/>
  <c r="L91" i="21" s="1"/>
  <c r="K89" i="21"/>
  <c r="L89" i="21" s="1"/>
  <c r="K87" i="21"/>
  <c r="L87" i="21" s="1"/>
  <c r="K85" i="21"/>
  <c r="L85" i="21" s="1"/>
  <c r="K83" i="21"/>
  <c r="L83" i="21" s="1"/>
  <c r="K81" i="21"/>
  <c r="L81" i="21" s="1"/>
  <c r="K79" i="21"/>
  <c r="L79" i="21" s="1"/>
  <c r="K77" i="21"/>
  <c r="L77" i="21" s="1"/>
  <c r="K75" i="21"/>
  <c r="L75" i="21" s="1"/>
  <c r="K73" i="21"/>
  <c r="L73" i="21" s="1"/>
  <c r="K71" i="21"/>
  <c r="L71" i="21" s="1"/>
  <c r="K69" i="21"/>
  <c r="L69" i="21" s="1"/>
  <c r="K67" i="21"/>
  <c r="L67" i="21" s="1"/>
  <c r="K65" i="21"/>
  <c r="L65" i="21" s="1"/>
  <c r="K63" i="21"/>
  <c r="L63" i="21" s="1"/>
  <c r="K61" i="21"/>
  <c r="L61" i="21" s="1"/>
  <c r="K59" i="21"/>
  <c r="L59" i="21" s="1"/>
  <c r="K57" i="21"/>
  <c r="L57" i="21" s="1"/>
  <c r="K55" i="21"/>
  <c r="L55" i="21" s="1"/>
  <c r="K53" i="21"/>
  <c r="L53" i="21" s="1"/>
  <c r="K51" i="21"/>
  <c r="L51" i="21" s="1"/>
  <c r="K49" i="21"/>
  <c r="L49" i="21" s="1"/>
  <c r="K47" i="21"/>
  <c r="L47" i="21" s="1"/>
  <c r="K45" i="21"/>
  <c r="L45" i="21" s="1"/>
  <c r="K43" i="21"/>
  <c r="L43" i="21" s="1"/>
  <c r="K41" i="21"/>
  <c r="L41" i="21" s="1"/>
  <c r="K39" i="21"/>
  <c r="L39" i="21" s="1"/>
  <c r="K35" i="21"/>
  <c r="L35" i="21" s="1"/>
  <c r="K33" i="21"/>
  <c r="L33" i="21" s="1"/>
  <c r="K29" i="21"/>
  <c r="L29" i="21" s="1"/>
  <c r="K25" i="21"/>
  <c r="L25" i="21" s="1"/>
  <c r="K21" i="21"/>
  <c r="L21" i="21" s="1"/>
  <c r="K17" i="21"/>
  <c r="L17" i="21" s="1"/>
  <c r="K13" i="21"/>
  <c r="L13" i="21" s="1"/>
  <c r="K102" i="21"/>
  <c r="L102" i="21" s="1"/>
  <c r="K100" i="21"/>
  <c r="L100" i="21" s="1"/>
  <c r="K98" i="21"/>
  <c r="L98" i="21" s="1"/>
  <c r="K96" i="21"/>
  <c r="L96" i="21" s="1"/>
  <c r="K94" i="21"/>
  <c r="L94" i="21" s="1"/>
  <c r="K92" i="21"/>
  <c r="L92" i="21" s="1"/>
  <c r="K90" i="21"/>
  <c r="L90" i="21" s="1"/>
  <c r="K88" i="21"/>
  <c r="L88" i="21" s="1"/>
  <c r="K86" i="21"/>
  <c r="L86" i="21" s="1"/>
  <c r="K84" i="21"/>
  <c r="L84" i="21" s="1"/>
  <c r="K82" i="21"/>
  <c r="L82" i="21" s="1"/>
  <c r="K80" i="21"/>
  <c r="L80" i="21" s="1"/>
  <c r="K78" i="21"/>
  <c r="L78" i="21" s="1"/>
  <c r="K76" i="21"/>
  <c r="L76" i="21" s="1"/>
  <c r="K72" i="21"/>
  <c r="L72" i="21" s="1"/>
  <c r="K70" i="21"/>
  <c r="L70" i="21" s="1"/>
  <c r="K68" i="21"/>
  <c r="L68" i="21" s="1"/>
  <c r="K66" i="21"/>
  <c r="L66" i="21" s="1"/>
  <c r="K62" i="21"/>
  <c r="L62" i="21" s="1"/>
  <c r="K58" i="21"/>
  <c r="L58" i="21" s="1"/>
  <c r="K54" i="21"/>
  <c r="L54" i="21" s="1"/>
  <c r="K50" i="21"/>
  <c r="L50" i="21" s="1"/>
  <c r="K46" i="21"/>
  <c r="L46" i="21" s="1"/>
  <c r="K42" i="21"/>
  <c r="L42" i="21" s="1"/>
  <c r="K38" i="21"/>
  <c r="L38" i="21" s="1"/>
  <c r="K34" i="21"/>
  <c r="L34" i="21" s="1"/>
  <c r="K30" i="21"/>
  <c r="L30" i="21" s="1"/>
  <c r="K26" i="21"/>
  <c r="L26" i="21" s="1"/>
  <c r="K22" i="21"/>
  <c r="L22" i="21" s="1"/>
  <c r="K18" i="21"/>
  <c r="L18" i="21" s="1"/>
  <c r="K14" i="21"/>
  <c r="L14" i="21" s="1"/>
  <c r="K10" i="21"/>
  <c r="L10" i="21" s="1"/>
  <c r="AR34" i="19" l="1"/>
  <c r="AQ34" i="19" s="1"/>
  <c r="I34" i="19"/>
  <c r="H34" i="19" s="1"/>
  <c r="AC34" i="19"/>
  <c r="AB34" i="19" s="1"/>
  <c r="BB34" i="19"/>
  <c r="BA34" i="19" s="1"/>
  <c r="S34" i="19"/>
  <c r="R34" i="19" s="1"/>
  <c r="I33" i="19"/>
  <c r="H33" i="19" s="1"/>
  <c r="J6" i="1" a="1"/>
  <c r="J6" i="1" s="1"/>
  <c r="I6" i="1" s="1"/>
  <c r="E4" i="19"/>
  <c r="C4" i="19" s="1"/>
  <c r="T4" i="19"/>
  <c r="R4" i="19" s="1"/>
  <c r="BC4" i="19"/>
  <c r="BA4" i="19" s="1"/>
  <c r="O4" i="19"/>
  <c r="M4" i="19" s="1"/>
  <c r="AI4" i="19"/>
  <c r="AG4" i="19" s="1"/>
  <c r="AN5" i="19"/>
  <c r="AL5" i="19" s="1"/>
  <c r="Y4" i="19"/>
  <c r="W4" i="19" s="1"/>
  <c r="J4" i="19"/>
  <c r="AD4" i="19"/>
  <c r="AB4" i="19" s="1"/>
  <c r="BH4" i="19"/>
  <c r="BF4" i="19" s="1"/>
  <c r="AS4" i="19"/>
  <c r="AQ4" i="19" s="1"/>
  <c r="AX4" i="19"/>
  <c r="AV4" i="19" s="1"/>
  <c r="AN6" i="19"/>
  <c r="AL6" i="19" s="1"/>
  <c r="AS5" i="19"/>
  <c r="AQ5" i="19" s="1"/>
  <c r="O5" i="19"/>
  <c r="M5" i="19" s="1"/>
  <c r="AI5" i="19"/>
  <c r="AG5" i="19" s="1"/>
  <c r="Y5" i="19"/>
  <c r="W5" i="19" s="1"/>
  <c r="AX5" i="19"/>
  <c r="AV5" i="19" s="1"/>
  <c r="BC5" i="19"/>
  <c r="BA5" i="19" s="1"/>
  <c r="AD5" i="19"/>
  <c r="AB5" i="19" s="1"/>
  <c r="T5" i="19"/>
  <c r="R5" i="19" s="1"/>
  <c r="J5" i="19"/>
  <c r="BH5" i="19"/>
  <c r="BF5" i="19" s="1"/>
  <c r="E5" i="19"/>
  <c r="C5" i="19" s="1"/>
  <c r="T6" i="19"/>
  <c r="R6" i="19" s="1"/>
  <c r="AD6" i="19"/>
  <c r="AB6" i="19" s="1"/>
  <c r="AN7" i="19"/>
  <c r="AL7" i="19" s="1"/>
  <c r="BH6" i="19"/>
  <c r="BF6" i="19" s="1"/>
  <c r="AS6" i="19"/>
  <c r="AQ6" i="19" s="1"/>
  <c r="AI6" i="19"/>
  <c r="AG6" i="19" s="1"/>
  <c r="E6" i="19"/>
  <c r="C6" i="19" s="1"/>
  <c r="AX6" i="19"/>
  <c r="AV6" i="19" s="1"/>
  <c r="Y6" i="19"/>
  <c r="W6" i="19" s="1"/>
  <c r="BC6" i="19"/>
  <c r="BA6" i="19" s="1"/>
  <c r="O6" i="19"/>
  <c r="M6" i="19" s="1"/>
  <c r="J6" i="19"/>
  <c r="T7" i="19"/>
  <c r="R7" i="19" s="1"/>
  <c r="AN8" i="19"/>
  <c r="AL8" i="19" s="1"/>
  <c r="AS7" i="19"/>
  <c r="AQ7" i="19" s="1"/>
  <c r="E7" i="19"/>
  <c r="C7" i="19" s="1"/>
  <c r="BH7" i="19"/>
  <c r="BF7" i="19" s="1"/>
  <c r="AD7" i="19"/>
  <c r="AB7" i="19" s="1"/>
  <c r="AI7" i="19"/>
  <c r="AG7" i="19" s="1"/>
  <c r="Y7" i="19"/>
  <c r="W7" i="19" s="1"/>
  <c r="AX7" i="19"/>
  <c r="AV7" i="19" s="1"/>
  <c r="O7" i="19"/>
  <c r="M7" i="19" s="1"/>
  <c r="J7" i="19"/>
  <c r="BC7" i="19"/>
  <c r="BA7" i="19" s="1"/>
  <c r="AX9" i="19"/>
  <c r="AV9" i="19" s="1"/>
  <c r="Y8" i="19"/>
  <c r="W8" i="19" s="1"/>
  <c r="AS8" i="19"/>
  <c r="AQ8" i="19" s="1"/>
  <c r="BC8" i="19"/>
  <c r="BA8" i="19" s="1"/>
  <c r="AD8" i="19"/>
  <c r="AB8" i="19" s="1"/>
  <c r="AI8" i="19"/>
  <c r="AG8" i="19" s="1"/>
  <c r="BH8" i="19"/>
  <c r="BF8" i="19" s="1"/>
  <c r="E8" i="19"/>
  <c r="C8" i="19" s="1"/>
  <c r="AX8" i="19"/>
  <c r="AV8" i="19" s="1"/>
  <c r="J8" i="19"/>
  <c r="AN9" i="19"/>
  <c r="AL9" i="19" s="1"/>
  <c r="O8" i="19"/>
  <c r="M8" i="19" s="1"/>
  <c r="T8" i="19"/>
  <c r="R8" i="19" s="1"/>
  <c r="E9" i="19"/>
  <c r="C9" i="19" s="1"/>
  <c r="T9" i="19"/>
  <c r="R9" i="19" s="1"/>
  <c r="AN10" i="19"/>
  <c r="AL10" i="19" s="1"/>
  <c r="AD9" i="19"/>
  <c r="AB9" i="19" s="1"/>
  <c r="E10" i="19"/>
  <c r="C10" i="19" s="1"/>
  <c r="AX10" i="19"/>
  <c r="AV10" i="19" s="1"/>
  <c r="O9" i="19"/>
  <c r="M9" i="19" s="1"/>
  <c r="J9" i="19"/>
  <c r="AS9" i="19"/>
  <c r="AQ9" i="19" s="1"/>
  <c r="Y9" i="19"/>
  <c r="W9" i="19" s="1"/>
  <c r="BC9" i="19"/>
  <c r="BA9" i="19" s="1"/>
  <c r="BH9" i="19"/>
  <c r="BF9" i="19" s="1"/>
  <c r="AI9" i="19"/>
  <c r="AG9" i="19" s="1"/>
  <c r="AN11" i="19"/>
  <c r="AL11" i="19" s="1"/>
  <c r="Y10" i="19"/>
  <c r="W10" i="19" s="1"/>
  <c r="BC10" i="19"/>
  <c r="BA10" i="19" s="1"/>
  <c r="E11" i="19"/>
  <c r="C11" i="19" s="1"/>
  <c r="J10" i="19"/>
  <c r="AX11" i="19"/>
  <c r="AV11" i="19" s="1"/>
  <c r="AS10" i="19"/>
  <c r="AQ10" i="19" s="1"/>
  <c r="BH10" i="19"/>
  <c r="BF10" i="19" s="1"/>
  <c r="O10" i="19"/>
  <c r="M10" i="19" s="1"/>
  <c r="AI10" i="19"/>
  <c r="AG10" i="19" s="1"/>
  <c r="AD10" i="19"/>
  <c r="AB10" i="19" s="1"/>
  <c r="T10" i="19"/>
  <c r="R10" i="19" s="1"/>
  <c r="AX12" i="19"/>
  <c r="AV12" i="19" s="1"/>
  <c r="J11" i="19"/>
  <c r="AD11" i="19"/>
  <c r="AB11" i="19" s="1"/>
  <c r="AS11" i="19"/>
  <c r="AQ11" i="19" s="1"/>
  <c r="AN12" i="19"/>
  <c r="AL12" i="19" s="1"/>
  <c r="AI11" i="19"/>
  <c r="AG11" i="19" s="1"/>
  <c r="O11" i="19"/>
  <c r="M11" i="19" s="1"/>
  <c r="T11" i="19"/>
  <c r="R11" i="19" s="1"/>
  <c r="BC11" i="19"/>
  <c r="BA11" i="19" s="1"/>
  <c r="Y11" i="19"/>
  <c r="W11" i="19" s="1"/>
  <c r="BH11" i="19"/>
  <c r="BF11" i="19" s="1"/>
  <c r="E12" i="19"/>
  <c r="C12" i="19" s="1"/>
  <c r="AX13" i="19"/>
  <c r="AV13" i="19" s="1"/>
  <c r="AD12" i="19"/>
  <c r="AB12" i="19" s="1"/>
  <c r="AI12" i="19"/>
  <c r="AG12" i="19" s="1"/>
  <c r="O12" i="19"/>
  <c r="M12" i="19" s="1"/>
  <c r="AS12" i="19"/>
  <c r="AQ12" i="19" s="1"/>
  <c r="BH12" i="19"/>
  <c r="BF12" i="19" s="1"/>
  <c r="J12" i="19"/>
  <c r="Y12" i="19"/>
  <c r="W12" i="19" s="1"/>
  <c r="BC12" i="19"/>
  <c r="BA12" i="19" s="1"/>
  <c r="T12" i="19"/>
  <c r="R12" i="19" s="1"/>
  <c r="E13" i="19"/>
  <c r="C13" i="19" s="1"/>
  <c r="AN13" i="19"/>
  <c r="AL13" i="19" s="1"/>
  <c r="O13" i="19"/>
  <c r="M13" i="19" s="1"/>
  <c r="BC13" i="19"/>
  <c r="BA13" i="19" s="1"/>
  <c r="AN14" i="19"/>
  <c r="AL14" i="19" s="1"/>
  <c r="E14" i="19"/>
  <c r="C14" i="19" s="1"/>
  <c r="Y13" i="19"/>
  <c r="W13" i="19" s="1"/>
  <c r="AX14" i="19"/>
  <c r="AV14" i="19" s="1"/>
  <c r="AS13" i="19"/>
  <c r="AQ13" i="19" s="1"/>
  <c r="AD13" i="19"/>
  <c r="AB13" i="19" s="1"/>
  <c r="AI13" i="19"/>
  <c r="AG13" i="19" s="1"/>
  <c r="BH13" i="19"/>
  <c r="BF13" i="19" s="1"/>
  <c r="J13" i="19"/>
  <c r="T13" i="19"/>
  <c r="R13" i="19" s="1"/>
  <c r="AI14" i="19"/>
  <c r="AG14" i="19" s="1"/>
  <c r="Y14" i="19"/>
  <c r="W14" i="19" s="1"/>
  <c r="J14" i="19"/>
  <c r="E15" i="19"/>
  <c r="C15" i="19" s="1"/>
  <c r="BC14" i="19"/>
  <c r="BA14" i="19" s="1"/>
  <c r="AD14" i="19"/>
  <c r="AB14" i="19" s="1"/>
  <c r="BH14" i="19"/>
  <c r="BF14" i="19" s="1"/>
  <c r="AN15" i="19"/>
  <c r="AL15" i="19" s="1"/>
  <c r="AX15" i="19"/>
  <c r="AV15" i="19" s="1"/>
  <c r="T14" i="19"/>
  <c r="R14" i="19" s="1"/>
  <c r="O14" i="19"/>
  <c r="M14" i="19" s="1"/>
  <c r="AS14" i="19"/>
  <c r="AQ14" i="19" s="1"/>
  <c r="AI15" i="19"/>
  <c r="AG15" i="19" s="1"/>
  <c r="Y15" i="19"/>
  <c r="W15" i="19" s="1"/>
  <c r="J15" i="19"/>
  <c r="E16" i="19"/>
  <c r="C16" i="19" s="1"/>
  <c r="AX16" i="19"/>
  <c r="AV16" i="19" s="1"/>
  <c r="AD15" i="19"/>
  <c r="AB15" i="19" s="1"/>
  <c r="BH15" i="19"/>
  <c r="BF15" i="19" s="1"/>
  <c r="AS15" i="19"/>
  <c r="AQ15" i="19" s="1"/>
  <c r="BC15" i="19"/>
  <c r="BA15" i="19" s="1"/>
  <c r="T15" i="19"/>
  <c r="R15" i="19" s="1"/>
  <c r="O15" i="19"/>
  <c r="M15" i="19" s="1"/>
  <c r="AN16" i="19"/>
  <c r="AL16" i="19" s="1"/>
  <c r="AS16" i="19"/>
  <c r="AQ16" i="19" s="1"/>
  <c r="T16" i="19"/>
  <c r="R16" i="19" s="1"/>
  <c r="O16" i="19"/>
  <c r="M16" i="19" s="1"/>
  <c r="J16" i="19"/>
  <c r="AN17" i="19"/>
  <c r="AL17" i="19" s="1"/>
  <c r="T17" i="19"/>
  <c r="R17" i="19" s="1"/>
  <c r="E17" i="19"/>
  <c r="C17" i="19" s="1"/>
  <c r="BH16" i="19"/>
  <c r="BF16" i="19" s="1"/>
  <c r="Y16" i="19"/>
  <c r="W16" i="19" s="1"/>
  <c r="AI16" i="19"/>
  <c r="AG16" i="19" s="1"/>
  <c r="AD16" i="19"/>
  <c r="AB16" i="19" s="1"/>
  <c r="AX17" i="19"/>
  <c r="AV17" i="19" s="1"/>
  <c r="BC16" i="19"/>
  <c r="BA16" i="19" s="1"/>
  <c r="O17" i="19"/>
  <c r="M17" i="19" s="1"/>
  <c r="Y17" i="19"/>
  <c r="W17" i="19" s="1"/>
  <c r="BH17" i="19"/>
  <c r="BF17" i="19" s="1"/>
  <c r="AI17" i="19"/>
  <c r="AG17" i="19" s="1"/>
  <c r="E18" i="19"/>
  <c r="C18" i="19" s="1"/>
  <c r="T18" i="19"/>
  <c r="R18" i="19" s="1"/>
  <c r="AX18" i="19"/>
  <c r="AV18" i="19" s="1"/>
  <c r="AD17" i="19"/>
  <c r="AB17" i="19" s="1"/>
  <c r="AN18" i="19"/>
  <c r="AL18" i="19" s="1"/>
  <c r="AS17" i="19"/>
  <c r="AQ17" i="19" s="1"/>
  <c r="BC17" i="19"/>
  <c r="BA17" i="19" s="1"/>
  <c r="J17" i="19"/>
  <c r="J18" i="19"/>
  <c r="AD18" i="19"/>
  <c r="AB18" i="19" s="1"/>
  <c r="AS18" i="19"/>
  <c r="AQ18" i="19" s="1"/>
  <c r="E19" i="19"/>
  <c r="C19" i="19" s="1"/>
  <c r="T19" i="19"/>
  <c r="R19" i="19" s="1"/>
  <c r="AN19" i="19"/>
  <c r="AL19" i="19" s="1"/>
  <c r="AI18" i="19"/>
  <c r="AG18" i="19" s="1"/>
  <c r="O18" i="19"/>
  <c r="M18" i="19" s="1"/>
  <c r="BH18" i="19"/>
  <c r="BF18" i="19" s="1"/>
  <c r="Y18" i="19"/>
  <c r="W18" i="19" s="1"/>
  <c r="BC18" i="19"/>
  <c r="BA18" i="19" s="1"/>
  <c r="AX19" i="19"/>
  <c r="AV19" i="19" s="1"/>
  <c r="BH19" i="19"/>
  <c r="BF19" i="19" s="1"/>
  <c r="AD19" i="19"/>
  <c r="AB19" i="19" s="1"/>
  <c r="Y19" i="19"/>
  <c r="W19" i="19" s="1"/>
  <c r="T20" i="19"/>
  <c r="R20" i="19" s="1"/>
  <c r="AN20" i="19"/>
  <c r="AL20" i="19" s="1"/>
  <c r="J19" i="19"/>
  <c r="E20" i="19"/>
  <c r="C20" i="19" s="1"/>
  <c r="AS19" i="19"/>
  <c r="AQ19" i="19" s="1"/>
  <c r="O19" i="19"/>
  <c r="M19" i="19" s="1"/>
  <c r="AX20" i="19"/>
  <c r="AV20" i="19" s="1"/>
  <c r="BC19" i="19"/>
  <c r="BA19" i="19" s="1"/>
  <c r="AI19" i="19"/>
  <c r="AG19" i="19" s="1"/>
  <c r="BC20" i="19"/>
  <c r="BA20" i="19" s="1"/>
  <c r="O20" i="19"/>
  <c r="M20" i="19" s="1"/>
  <c r="J20" i="19"/>
  <c r="E21" i="19"/>
  <c r="C21" i="19" s="1"/>
  <c r="Y20" i="19"/>
  <c r="W20" i="19" s="1"/>
  <c r="AI20" i="19"/>
  <c r="AG20" i="19" s="1"/>
  <c r="AN21" i="19"/>
  <c r="AL21" i="19" s="1"/>
  <c r="AS20" i="19"/>
  <c r="AQ20" i="19" s="1"/>
  <c r="T21" i="19"/>
  <c r="R21" i="19" s="1"/>
  <c r="AX21" i="19"/>
  <c r="AV21" i="19" s="1"/>
  <c r="BH20" i="19"/>
  <c r="BF20" i="19" s="1"/>
  <c r="Y21" i="19"/>
  <c r="W21" i="19" s="1"/>
  <c r="AD20" i="19"/>
  <c r="AB20" i="19" s="1"/>
  <c r="J21" i="19"/>
  <c r="O21" i="19"/>
  <c r="M21" i="19" s="1"/>
  <c r="AX22" i="19"/>
  <c r="AV22" i="19" s="1"/>
  <c r="T22" i="19"/>
  <c r="R22" i="19" s="1"/>
  <c r="AI21" i="19"/>
  <c r="AG21" i="19" s="1"/>
  <c r="AD21" i="19"/>
  <c r="AB21" i="19" s="1"/>
  <c r="BC21" i="19"/>
  <c r="BA21" i="19" s="1"/>
  <c r="Y22" i="19"/>
  <c r="W22" i="19" s="1"/>
  <c r="AS21" i="19"/>
  <c r="AQ21" i="19" s="1"/>
  <c r="BH21" i="19"/>
  <c r="BF21" i="19" s="1"/>
  <c r="AN22" i="19"/>
  <c r="AL22" i="19" s="1"/>
  <c r="E22" i="19"/>
  <c r="C22" i="19" s="1"/>
  <c r="T23" i="19"/>
  <c r="R23" i="19" s="1"/>
  <c r="AD22" i="19"/>
  <c r="AB22" i="19" s="1"/>
  <c r="AX23" i="19"/>
  <c r="AV23" i="19" s="1"/>
  <c r="E23" i="19"/>
  <c r="C23" i="19" s="1"/>
  <c r="AN23" i="19"/>
  <c r="AL23" i="19" s="1"/>
  <c r="BH22" i="19"/>
  <c r="BF22" i="19" s="1"/>
  <c r="J22" i="19"/>
  <c r="AS22" i="19"/>
  <c r="AQ22" i="19" s="1"/>
  <c r="BC22" i="19"/>
  <c r="BA22" i="19" s="1"/>
  <c r="Y23" i="19"/>
  <c r="W23" i="19" s="1"/>
  <c r="AI22" i="19"/>
  <c r="AG22" i="19" s="1"/>
  <c r="O22" i="19"/>
  <c r="M22" i="19" s="1"/>
  <c r="AS23" i="19"/>
  <c r="AQ23" i="19" s="1"/>
  <c r="J23" i="19"/>
  <c r="Y24" i="19"/>
  <c r="W24" i="19" s="1"/>
  <c r="AD23" i="19"/>
  <c r="AB23" i="19" s="1"/>
  <c r="AX24" i="19"/>
  <c r="AV24" i="19" s="1"/>
  <c r="BH23" i="19"/>
  <c r="BF23" i="19" s="1"/>
  <c r="T24" i="19"/>
  <c r="R24" i="19" s="1"/>
  <c r="AI23" i="19"/>
  <c r="AG23" i="19" s="1"/>
  <c r="BC24" i="19"/>
  <c r="BA24" i="19" s="1"/>
  <c r="AN24" i="19"/>
  <c r="AL24" i="19" s="1"/>
  <c r="O23" i="19"/>
  <c r="M23" i="19" s="1"/>
  <c r="E24" i="19"/>
  <c r="C24" i="19" s="1"/>
  <c r="BC23" i="19"/>
  <c r="BA23" i="19" s="1"/>
  <c r="BC25" i="19"/>
  <c r="BA25" i="19" s="1"/>
  <c r="J24" i="19"/>
  <c r="AS24" i="19"/>
  <c r="AQ24" i="19" s="1"/>
  <c r="E25" i="19"/>
  <c r="C25" i="19" s="1"/>
  <c r="BH24" i="19"/>
  <c r="BF24" i="19" s="1"/>
  <c r="AD25" i="19"/>
  <c r="AB25" i="19" s="1"/>
  <c r="AI24" i="19"/>
  <c r="AG24" i="19" s="1"/>
  <c r="AD24" i="19"/>
  <c r="AB24" i="19" s="1"/>
  <c r="Y25" i="19"/>
  <c r="W25" i="19" s="1"/>
  <c r="T25" i="19"/>
  <c r="R25" i="19" s="1"/>
  <c r="AN25" i="19"/>
  <c r="AL25" i="19" s="1"/>
  <c r="AX25" i="19"/>
  <c r="AV25" i="19" s="1"/>
  <c r="O24" i="19"/>
  <c r="M24" i="19" s="1"/>
  <c r="J25" i="19"/>
  <c r="AI25" i="19"/>
  <c r="AG25" i="19" s="1"/>
  <c r="BC26" i="19"/>
  <c r="BA26" i="19" s="1"/>
  <c r="AS25" i="19"/>
  <c r="AQ25" i="19" s="1"/>
  <c r="T26" i="19"/>
  <c r="R26" i="19" s="1"/>
  <c r="AX26" i="19"/>
  <c r="AV26" i="19" s="1"/>
  <c r="Y26" i="19"/>
  <c r="W26" i="19" s="1"/>
  <c r="BH25" i="19"/>
  <c r="BF25" i="19" s="1"/>
  <c r="AD26" i="19"/>
  <c r="AB26" i="19" s="1"/>
  <c r="AN26" i="19"/>
  <c r="AL26" i="19" s="1"/>
  <c r="O25" i="19"/>
  <c r="M25" i="19" s="1"/>
  <c r="E26" i="19"/>
  <c r="C26" i="19" s="1"/>
  <c r="J7" i="1" a="1"/>
  <c r="J7" i="1" s="1"/>
  <c r="I7" i="1" s="1"/>
  <c r="O26" i="19"/>
  <c r="M26" i="19" s="1"/>
  <c r="J26" i="19"/>
  <c r="AS26" i="19"/>
  <c r="AQ26" i="19" s="1"/>
  <c r="T27" i="19"/>
  <c r="R27" i="19" s="1"/>
  <c r="Y27" i="19"/>
  <c r="W27" i="19" s="1"/>
  <c r="BH26" i="19"/>
  <c r="BF26" i="19" s="1"/>
  <c r="AI26" i="19"/>
  <c r="AG26" i="19" s="1"/>
  <c r="AD27" i="19"/>
  <c r="AB27" i="19" s="1"/>
  <c r="E27" i="19"/>
  <c r="C27" i="19" s="1"/>
  <c r="J8" i="1" a="1"/>
  <c r="J8" i="1" s="1"/>
  <c r="I8" i="1" s="1"/>
  <c r="AX27" i="19"/>
  <c r="AV27" i="19" s="1"/>
  <c r="AN27" i="19"/>
  <c r="AL27" i="19" s="1"/>
  <c r="BC27" i="19"/>
  <c r="BA27" i="19" s="1"/>
  <c r="T28" i="19"/>
  <c r="R28" i="19" s="1"/>
  <c r="AN28" i="19"/>
  <c r="AL28" i="19" s="1"/>
  <c r="AI27" i="19"/>
  <c r="AG27" i="19" s="1"/>
  <c r="AD28" i="19"/>
  <c r="AB28" i="19" s="1"/>
  <c r="AX28" i="19"/>
  <c r="AV28" i="19" s="1"/>
  <c r="Y28" i="19"/>
  <c r="W28" i="19" s="1"/>
  <c r="E28" i="19"/>
  <c r="C28" i="19" s="1"/>
  <c r="J27" i="19"/>
  <c r="AS27" i="19"/>
  <c r="AQ27" i="19" s="1"/>
  <c r="O27" i="19"/>
  <c r="M27" i="19" s="1"/>
  <c r="BH27" i="19"/>
  <c r="BF27" i="19" s="1"/>
  <c r="BC28" i="19"/>
  <c r="BA28" i="19" s="1"/>
  <c r="BH28" i="19"/>
  <c r="BF28" i="19" s="1"/>
  <c r="J9" i="1" a="1"/>
  <c r="J9" i="1" s="1"/>
  <c r="I9" i="1" s="1"/>
  <c r="J28" i="19"/>
  <c r="O28" i="19"/>
  <c r="M28" i="19" s="1"/>
  <c r="AI28" i="19"/>
  <c r="AG28" i="19" s="1"/>
  <c r="AS28" i="19"/>
  <c r="AQ28" i="19" s="1"/>
  <c r="AD29" i="19"/>
  <c r="AB29" i="19" s="1"/>
  <c r="AX29" i="19"/>
  <c r="AV29" i="19" s="1"/>
  <c r="Y29" i="19"/>
  <c r="W29" i="19" s="1"/>
  <c r="E29" i="19"/>
  <c r="C29" i="19" s="1"/>
  <c r="J10" i="1" a="1"/>
  <c r="J10" i="1" s="1"/>
  <c r="I10" i="1" s="1"/>
  <c r="BC29" i="19"/>
  <c r="BA29" i="19" s="1"/>
  <c r="BH29" i="19"/>
  <c r="BF29" i="19" s="1"/>
  <c r="AN29" i="19"/>
  <c r="AL29" i="19" s="1"/>
  <c r="T29" i="19"/>
  <c r="R29" i="19" s="1"/>
  <c r="O29" i="19"/>
  <c r="M29" i="19" s="1"/>
  <c r="AI29" i="19"/>
  <c r="AG29" i="19" s="1"/>
  <c r="BH30" i="19"/>
  <c r="BF30" i="19" s="1"/>
  <c r="AN30" i="19"/>
  <c r="AL30" i="19" s="1"/>
  <c r="J29" i="19"/>
  <c r="AS29" i="19"/>
  <c r="AQ29" i="19" s="1"/>
  <c r="E30" i="19"/>
  <c r="C30" i="19" s="1"/>
  <c r="BC30" i="19"/>
  <c r="BA30" i="19" s="1"/>
  <c r="T30" i="19"/>
  <c r="R30" i="19" s="1"/>
  <c r="AD30" i="19"/>
  <c r="AB30" i="19" s="1"/>
  <c r="AX30" i="19"/>
  <c r="AV30" i="19" s="1"/>
  <c r="Y30" i="19"/>
  <c r="W30" i="19" s="1"/>
  <c r="J11" i="1" a="1"/>
  <c r="J11" i="1" s="1"/>
  <c r="I11" i="1" s="1"/>
  <c r="O30" i="19"/>
  <c r="M30" i="19" s="1"/>
  <c r="AS30" i="19"/>
  <c r="AQ30" i="19" s="1"/>
  <c r="T31" i="19"/>
  <c r="R31" i="19" s="1"/>
  <c r="J30" i="19"/>
  <c r="AD31" i="19"/>
  <c r="AB31" i="19" s="1"/>
  <c r="AX31" i="19"/>
  <c r="AV31" i="19" s="1"/>
  <c r="Y31" i="19"/>
  <c r="W31" i="19" s="1"/>
  <c r="E31" i="19"/>
  <c r="C31" i="19" s="1"/>
  <c r="BH31" i="19"/>
  <c r="BF31" i="19" s="1"/>
  <c r="AN31" i="19"/>
  <c r="AL31" i="19" s="1"/>
  <c r="AI30" i="19"/>
  <c r="AG30" i="19" s="1"/>
  <c r="J12" i="1" a="1"/>
  <c r="J12" i="1" s="1"/>
  <c r="I12" i="1" s="1"/>
  <c r="BC31" i="19"/>
  <c r="BA31" i="19" s="1"/>
  <c r="O31" i="19"/>
  <c r="M31" i="19" s="1"/>
  <c r="AI31" i="19"/>
  <c r="AG31" i="19" s="1"/>
  <c r="BC32" i="19"/>
  <c r="BA32" i="19" s="1"/>
  <c r="T32" i="19"/>
  <c r="R32" i="19" s="1"/>
  <c r="BH32" i="19"/>
  <c r="BF32" i="19" s="1"/>
  <c r="Y32" i="19"/>
  <c r="W32" i="19" s="1"/>
  <c r="AI32" i="19"/>
  <c r="AG32" i="19" s="1"/>
  <c r="E32" i="19"/>
  <c r="C32" i="19" s="1"/>
  <c r="AN32" i="19"/>
  <c r="AL32" i="19" s="1"/>
  <c r="AS31" i="19"/>
  <c r="AQ31" i="19" s="1"/>
  <c r="J31" i="19"/>
  <c r="AD32" i="19"/>
  <c r="AB32" i="19" s="1"/>
  <c r="AX32" i="19"/>
  <c r="AV32" i="19" s="1"/>
  <c r="J32" i="19"/>
  <c r="AS33" i="19"/>
  <c r="AQ33" i="19" s="1"/>
  <c r="Y33" i="19"/>
  <c r="W33" i="19" s="1"/>
  <c r="O32" i="19"/>
  <c r="M32" i="19" s="1"/>
  <c r="BC33" i="19"/>
  <c r="BA33" i="19" s="1"/>
  <c r="AD33" i="19"/>
  <c r="AB33" i="19" s="1"/>
  <c r="AX33" i="19"/>
  <c r="AV33" i="19" s="1"/>
  <c r="AI33" i="19"/>
  <c r="AG33" i="19" s="1"/>
  <c r="E33" i="19"/>
  <c r="C33" i="19" s="1"/>
  <c r="BH33" i="19"/>
  <c r="BF33" i="19" s="1"/>
  <c r="T33" i="19"/>
  <c r="R33" i="19" s="1"/>
  <c r="AS32" i="19"/>
  <c r="AQ32" i="19" s="1"/>
  <c r="AN33" i="19"/>
  <c r="AL33" i="19" s="1"/>
  <c r="O33" i="19"/>
  <c r="M33" i="19" s="1"/>
  <c r="AN34" i="19"/>
  <c r="AL34" i="19" s="1"/>
  <c r="AI34" i="19"/>
  <c r="AG34" i="19" s="1"/>
  <c r="BH34" i="19"/>
  <c r="BF34" i="19" s="1"/>
  <c r="AN4" i="19"/>
  <c r="AL4" i="19" s="1"/>
  <c r="AX34" i="19"/>
  <c r="AV34" i="19" s="1"/>
  <c r="Y34" i="19"/>
  <c r="W34" i="19" s="1"/>
  <c r="E34" i="19"/>
  <c r="C34" i="19" s="1"/>
  <c r="O34" i="19"/>
  <c r="M34" i="1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E4" authorId="0" shapeId="0" xr:uid="{820BC7AC-CF6B-4B89-A9EA-8A7AA5108498}">
      <text>
        <r>
          <rPr>
            <b/>
            <sz val="9"/>
            <color indexed="81"/>
            <rFont val="Segoe UI"/>
            <family val="2"/>
          </rPr>
          <t xml:space="preserve">BW   Baden-Württemberg
BY    Bayern
BE    Berlin
BB    Brandenburg
HB    Bremen
HH   Hamburg
HE    Hessen
MV  Mecklenburg-Vorpommern
NI    Niedersachsen
NW Nordrhein-Westfalen
RP   Rheinland-Pfalz
SL    Saarland
SN   Sachsen
ST    Sachsen-Anhalt
SH   Schleswig-Holstein
TH   Thüringen
</t>
        </r>
      </text>
    </comment>
    <comment ref="G4" authorId="0" shapeId="0" xr:uid="{2A0531B0-C89D-4442-8B8F-7D39D6382436}">
      <text>
        <r>
          <rPr>
            <b/>
            <sz val="9"/>
            <color indexed="81"/>
            <rFont val="Segoe UI"/>
            <family val="2"/>
          </rPr>
          <t>BW   Baden-Württemberg
BY    Bayern
BE    Berlin
BB    Brandenburg
HB    Bremen
HH   Hamburg
HE    Hessen
MV  Mecklenburg-Vorpommern
NI    Niedersachsen
NW Nordrhein-Westfalen
RP   Rheinland-Pfalz
SL    Saarland
SN   Sachsen
ST    Sachsen-Anhalt
SH   Schleswig-Holstein
TH   Thüringen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<sst xmlns="http://schemas.openxmlformats.org/spreadsheetml/2006/main" count="639" uniqueCount="284">
  <si>
    <t>Mond</t>
  </si>
  <si>
    <t>Kal.-Wo.</t>
  </si>
  <si>
    <t>Termine</t>
  </si>
  <si>
    <t>Heute:</t>
  </si>
  <si>
    <t>Datum</t>
  </si>
  <si>
    <t>Aktuelles Jahr:</t>
  </si>
  <si>
    <t>in Kalender</t>
  </si>
  <si>
    <t>1. Name</t>
  </si>
  <si>
    <t>Geb.-dat.</t>
  </si>
  <si>
    <t>Alter</t>
  </si>
  <si>
    <t>2. Name</t>
  </si>
  <si>
    <t>3. Name</t>
  </si>
  <si>
    <t>Zeit</t>
  </si>
  <si>
    <t>Erläuterung:</t>
  </si>
  <si>
    <t>1. Termine eingeben z.B.: FFW Versammlung)</t>
  </si>
  <si>
    <t>2.  Datum eintragen (z.B.: 14.05.2018)</t>
  </si>
  <si>
    <t>3.  Zeit eingeben (z.B.: 18:00)</t>
  </si>
  <si>
    <t>Jahr:</t>
  </si>
  <si>
    <t>Zeitzone:</t>
  </si>
  <si>
    <t>von</t>
  </si>
  <si>
    <t>bis</t>
  </si>
  <si>
    <t>Winterferien</t>
  </si>
  <si>
    <t>Pfingstferien</t>
  </si>
  <si>
    <t>Sommerferien</t>
  </si>
  <si>
    <t>Herbstferien</t>
  </si>
  <si>
    <t>Neujahr</t>
  </si>
  <si>
    <t>Heilige 3 Könige (BY)</t>
  </si>
  <si>
    <t>Karfreitag</t>
  </si>
  <si>
    <t>Ostersonntag</t>
  </si>
  <si>
    <t>Ostermontag</t>
  </si>
  <si>
    <t>Maifeiertag</t>
  </si>
  <si>
    <t>Christi Himmelfahrt</t>
  </si>
  <si>
    <t>Pfingstmontag</t>
  </si>
  <si>
    <t>Fronleichnam (BY)</t>
  </si>
  <si>
    <t>Reformationstag (TH)</t>
  </si>
  <si>
    <t>Allerheiligen (BY reg.)</t>
  </si>
  <si>
    <t>1.Weihnachtsfeiertag</t>
  </si>
  <si>
    <t>2.Weihnachtsfeiertag</t>
  </si>
  <si>
    <t>Frühlingsanfang</t>
  </si>
  <si>
    <t>Sommeranfang</t>
  </si>
  <si>
    <t>Herbstanfang</t>
  </si>
  <si>
    <t>Winteranfang</t>
  </si>
  <si>
    <t>1. Advent</t>
  </si>
  <si>
    <t>2. Advent</t>
  </si>
  <si>
    <t>3. Advent</t>
  </si>
  <si>
    <t>4. Advent</t>
  </si>
  <si>
    <t>In die Tabelle können pro Tag bis zu 3 Geburtstage</t>
  </si>
  <si>
    <t>eingetragen werden.</t>
  </si>
  <si>
    <t>Adventssonntag:</t>
  </si>
  <si>
    <t>Tag der Deutschen Einheit</t>
  </si>
  <si>
    <t>Monat</t>
  </si>
  <si>
    <t>Tag</t>
  </si>
  <si>
    <t>Sternzeichen</t>
  </si>
  <si>
    <t>" Uhr"</t>
  </si>
  <si>
    <t xml:space="preserve">Kalenderwoche:  </t>
  </si>
  <si>
    <t xml:space="preserve">Datum:  </t>
  </si>
  <si>
    <t>Wenn Termin überschritten, dann erscheint das</t>
  </si>
  <si>
    <t>Datum Rot unterlegt.</t>
  </si>
  <si>
    <t>0</t>
  </si>
  <si>
    <t>@</t>
  </si>
  <si>
    <t>G</t>
  </si>
  <si>
    <t>T</t>
  </si>
  <si>
    <t>Erläuterungen zum Kalender, um die Funktionalität zu gewährleisten.</t>
  </si>
  <si>
    <t>Sonnenaufgang</t>
  </si>
  <si>
    <t>Sonnenuntergang</t>
  </si>
  <si>
    <t xml:space="preserve">Länge   O - W  </t>
  </si>
  <si>
    <t>Ortszeit: MEZ +/- Stunden</t>
  </si>
  <si>
    <t>Tage im Jahr</t>
  </si>
  <si>
    <t>Datum innerhalb dt. Sommerzeit</t>
  </si>
  <si>
    <t>ohne Untergang/Aufgang (Polnähe)</t>
  </si>
  <si>
    <t>Höchststand</t>
  </si>
  <si>
    <t>Dauer</t>
  </si>
  <si>
    <t>Sonnenuntergang:</t>
  </si>
  <si>
    <t>Sonnenaufgang:</t>
  </si>
  <si>
    <t>Höchststand:</t>
  </si>
  <si>
    <t>S = Sommerzeit</t>
  </si>
  <si>
    <t>Internet-Links:</t>
  </si>
  <si>
    <t>Eingabe:</t>
  </si>
  <si>
    <t>Breitengrad eingeben:</t>
  </si>
  <si>
    <t>Längengrad eingeben:</t>
  </si>
  <si>
    <r>
      <t>Breite   N</t>
    </r>
    <r>
      <rPr>
        <sz val="10"/>
        <color rgb="FF000000"/>
        <rFont val="Arial"/>
        <family val="2"/>
      </rPr>
      <t xml:space="preserve"> l </t>
    </r>
    <r>
      <rPr>
        <b/>
        <sz val="10"/>
        <color rgb="FF000000"/>
        <rFont val="Arial"/>
        <family val="2"/>
      </rPr>
      <t>S</t>
    </r>
  </si>
  <si>
    <t>Datum heute</t>
  </si>
  <si>
    <t>W = Winterzeit</t>
  </si>
  <si>
    <t>Sommerhalbjahr</t>
  </si>
  <si>
    <t>Winterhalbjahr</t>
  </si>
  <si>
    <t>Drücke &lt;F9&gt; für akt. Ortszeit</t>
  </si>
  <si>
    <t>Valentinstag</t>
  </si>
  <si>
    <t>Rosenmontag</t>
  </si>
  <si>
    <t>Aschermittwoch</t>
  </si>
  <si>
    <t>Muttertag</t>
  </si>
  <si>
    <t>Halloween</t>
  </si>
  <si>
    <t>Tag der Befreiung</t>
  </si>
  <si>
    <t xml:space="preserve">• </t>
  </si>
  <si>
    <t>GPS-Daten für Sonnenauf-u. untergang</t>
  </si>
  <si>
    <t>Ferienkalender</t>
  </si>
  <si>
    <t>Folgende Schriften müssen installiert sein:</t>
  </si>
  <si>
    <t>Moon Phases</t>
  </si>
  <si>
    <t>Folgende Daten werden angezeigt:</t>
  </si>
  <si>
    <t>Kalenderwoche</t>
  </si>
  <si>
    <t>Beginn von Jahreszeiten</t>
  </si>
  <si>
    <t>Mariä Himmelfahrt</t>
  </si>
  <si>
    <t>bundesweit</t>
  </si>
  <si>
    <t>Baden-Württemberg</t>
  </si>
  <si>
    <t>BW, BY, ST</t>
  </si>
  <si>
    <t>Bayern</t>
  </si>
  <si>
    <t>BE</t>
  </si>
  <si>
    <t>Berlin</t>
  </si>
  <si>
    <t>Brandenburg</t>
  </si>
  <si>
    <t>BB</t>
  </si>
  <si>
    <t>Bremen</t>
  </si>
  <si>
    <t>Hamburg</t>
  </si>
  <si>
    <t>Hessen</t>
  </si>
  <si>
    <t>Mecklenburg-Vorpommern</t>
  </si>
  <si>
    <t>Niedersachsen</t>
  </si>
  <si>
    <t>Nordrhein-Westfalen</t>
  </si>
  <si>
    <t>BW, BY, HE, NW, RP, teilweise TH u. SL</t>
  </si>
  <si>
    <t>Rheinland-Pfalz</t>
  </si>
  <si>
    <t>SL, teilweise BY</t>
  </si>
  <si>
    <t>TH</t>
  </si>
  <si>
    <t>Saarland</t>
  </si>
  <si>
    <t>Sachsen</t>
  </si>
  <si>
    <t>BB, HB, HH, MV, NI, SN, ST, SH,TH</t>
  </si>
  <si>
    <t>Sachsen-Anhalt</t>
  </si>
  <si>
    <t>BW, BY, NW, RP, SL</t>
  </si>
  <si>
    <t>Schleswig-Holstein</t>
  </si>
  <si>
    <t>SN</t>
  </si>
  <si>
    <t>Thüringen</t>
  </si>
  <si>
    <t>Internationaler Frauentag</t>
  </si>
  <si>
    <t>Weltkindertag (TH)</t>
  </si>
  <si>
    <t>Buß- u. Bettag</t>
  </si>
  <si>
    <t>Weiberfastnacht</t>
  </si>
  <si>
    <t>Palmsonntag</t>
  </si>
  <si>
    <t>Gründonnerstag</t>
  </si>
  <si>
    <t>Walpurgisnacht</t>
  </si>
  <si>
    <t>Siebenschläfertag</t>
  </si>
  <si>
    <t>Erntedank</t>
  </si>
  <si>
    <t>Faschingsbeginn</t>
  </si>
  <si>
    <t>Eisheiliger: Mamertus</t>
  </si>
  <si>
    <t>Eisheiliger: Pankratius</t>
  </si>
  <si>
    <t>Eisheiliger: Servatius</t>
  </si>
  <si>
    <t>Eisheiliger: Bonifatius</t>
  </si>
  <si>
    <t>Eisheilige: Sophia</t>
  </si>
  <si>
    <t>Feststehende langfristige Termine</t>
  </si>
  <si>
    <t>Kurzfristige Termine</t>
  </si>
  <si>
    <t>Faschingsdienstag</t>
  </si>
  <si>
    <t>Sonnenauf-u. untergang für den Ort/Stadt:</t>
  </si>
  <si>
    <t>Manuelle Suche:</t>
  </si>
  <si>
    <t>Jan.</t>
  </si>
  <si>
    <t>Feb.</t>
  </si>
  <si>
    <t>März</t>
  </si>
  <si>
    <t>Apr.</t>
  </si>
  <si>
    <t>Mai</t>
  </si>
  <si>
    <t>Juni</t>
  </si>
  <si>
    <t>Juli</t>
  </si>
  <si>
    <t>Aug.</t>
  </si>
  <si>
    <t>Sep.</t>
  </si>
  <si>
    <t>Okt</t>
  </si>
  <si>
    <t>Nov.</t>
  </si>
  <si>
    <t>Dez.</t>
  </si>
  <si>
    <t>veränderliche Feiertage</t>
  </si>
  <si>
    <t>Samstag</t>
  </si>
  <si>
    <t>unveränderliche Feiertage</t>
  </si>
  <si>
    <t>Sonntag</t>
  </si>
  <si>
    <t>Brückentage</t>
  </si>
  <si>
    <t>BW</t>
  </si>
  <si>
    <t>BY</t>
  </si>
  <si>
    <t>HB</t>
  </si>
  <si>
    <t>HH</t>
  </si>
  <si>
    <t>HE</t>
  </si>
  <si>
    <t>MV</t>
  </si>
  <si>
    <t>NI</t>
  </si>
  <si>
    <t>NW</t>
  </si>
  <si>
    <t>RP</t>
  </si>
  <si>
    <t>SL</t>
  </si>
  <si>
    <t>ST</t>
  </si>
  <si>
    <t>SH</t>
  </si>
  <si>
    <r>
      <t>Bei Abschaffung der Sommerzeit ist in "</t>
    </r>
    <r>
      <rPr>
        <b/>
        <sz val="12"/>
        <rFont val="Arial"/>
        <family val="2"/>
      </rPr>
      <t>C8</t>
    </r>
    <r>
      <rPr>
        <b/>
        <sz val="12"/>
        <color rgb="FFFF0000"/>
        <rFont val="Arial"/>
        <family val="2"/>
      </rPr>
      <t>" der</t>
    </r>
  </si>
  <si>
    <r>
      <t>Buchstabe "</t>
    </r>
    <r>
      <rPr>
        <b/>
        <sz val="12"/>
        <rFont val="Arial"/>
        <family val="2"/>
      </rPr>
      <t>S</t>
    </r>
    <r>
      <rPr>
        <b/>
        <sz val="12"/>
        <color rgb="FFFF0000"/>
        <rFont val="Arial"/>
        <family val="2"/>
      </rPr>
      <t>" oder "</t>
    </r>
    <r>
      <rPr>
        <b/>
        <sz val="12"/>
        <rFont val="Arial"/>
        <family val="2"/>
      </rPr>
      <t>W</t>
    </r>
    <r>
      <rPr>
        <b/>
        <sz val="12"/>
        <color rgb="FFFF0000"/>
        <rFont val="Arial"/>
        <family val="2"/>
      </rPr>
      <t>" einzutragen.</t>
    </r>
  </si>
  <si>
    <t>Blumen gießen</t>
  </si>
  <si>
    <t>Gießtage</t>
  </si>
  <si>
    <t>Ausgeblendete Tabellen:</t>
  </si>
  <si>
    <t>•  Sonne</t>
  </si>
  <si>
    <t>•  Jahreszeiten</t>
  </si>
  <si>
    <t>•  Jahreszeiten 2</t>
  </si>
  <si>
    <t>•  Sternzeichen</t>
  </si>
  <si>
    <t>•  Mond</t>
  </si>
  <si>
    <t>•  Monddaten</t>
  </si>
  <si>
    <t>W</t>
  </si>
  <si>
    <t>weiterer Zeitraum</t>
  </si>
  <si>
    <t>Nikolaustag</t>
  </si>
  <si>
    <r>
      <t xml:space="preserve">Eintragungen sind nur in den </t>
    </r>
    <r>
      <rPr>
        <b/>
        <sz val="12"/>
        <color rgb="FFFF0000"/>
        <rFont val="Arial"/>
        <family val="2"/>
      </rPr>
      <t>hellgrün</t>
    </r>
    <r>
      <rPr>
        <b/>
        <sz val="12"/>
        <rFont val="Arial"/>
        <family val="2"/>
      </rPr>
      <t xml:space="preserve"> unterlegten Zellen vorzunehmen!</t>
    </r>
  </si>
  <si>
    <t>aktuelles Datum</t>
  </si>
  <si>
    <t xml:space="preserve"> (in Manuelle Suche darf kein Eintrag sein)</t>
  </si>
  <si>
    <t>Ferien</t>
  </si>
  <si>
    <t>Feiertage</t>
  </si>
  <si>
    <t>Sonnenauf-u. Untergang</t>
  </si>
  <si>
    <t xml:space="preserve"> (entsprechend der GPS-Koordinaten) für Sommerzeit u. Winterzeit</t>
  </si>
  <si>
    <r>
      <t xml:space="preserve"> (GPS-Koordinaten mit </t>
    </r>
    <r>
      <rPr>
        <b/>
        <sz val="12"/>
        <color rgb="FFFF0000"/>
        <rFont val="Arial"/>
        <family val="2"/>
      </rPr>
      <t>Komma</t>
    </r>
    <r>
      <rPr>
        <b/>
        <sz val="12"/>
        <rFont val="Arial"/>
        <family val="2"/>
      </rPr>
      <t>)</t>
    </r>
    <r>
      <rPr>
        <b/>
        <sz val="12"/>
        <color rgb="FF000000"/>
        <rFont val="Arial"/>
        <family val="2"/>
      </rPr>
      <t xml:space="preserve"> nicht mit </t>
    </r>
    <r>
      <rPr>
        <b/>
        <sz val="12"/>
        <color rgb="FF0070C0"/>
        <rFont val="Arial"/>
        <family val="2"/>
      </rPr>
      <t>Punkt</t>
    </r>
    <r>
      <rPr>
        <b/>
        <sz val="12"/>
        <color rgb="FF000000"/>
        <rFont val="Arial"/>
        <family val="2"/>
      </rPr>
      <t xml:space="preserve"> eingeben!</t>
    </r>
  </si>
  <si>
    <t xml:space="preserve"> aktueller Tag</t>
  </si>
  <si>
    <t>Manuelle Suche</t>
  </si>
  <si>
    <t xml:space="preserve"> nach einem bestimmten Datum (dabei verändern sich alle Anzeigen</t>
  </si>
  <si>
    <t xml:space="preserve"> entsprechend dem Tag)</t>
  </si>
  <si>
    <t>Jahreskalender</t>
  </si>
  <si>
    <t xml:space="preserve"> (Kalender zum ausdrucken)</t>
  </si>
  <si>
    <t>Sonne</t>
  </si>
  <si>
    <r>
      <t xml:space="preserve">           </t>
    </r>
    <r>
      <rPr>
        <b/>
        <sz val="14"/>
        <rFont val="Moon Phases"/>
        <family val="2"/>
      </rPr>
      <t xml:space="preserve">* </t>
    </r>
    <r>
      <rPr>
        <b/>
        <sz val="14"/>
        <color indexed="54"/>
        <rFont val="Arial"/>
        <family val="2"/>
      </rPr>
      <t>= Neumond</t>
    </r>
  </si>
  <si>
    <r>
      <t xml:space="preserve">           </t>
    </r>
    <r>
      <rPr>
        <b/>
        <sz val="14"/>
        <rFont val="Moon Phases"/>
        <family val="2"/>
      </rPr>
      <t xml:space="preserve">G </t>
    </r>
    <r>
      <rPr>
        <b/>
        <sz val="14"/>
        <color indexed="54"/>
        <rFont val="Arial"/>
        <family val="2"/>
      </rPr>
      <t>= Zunehmender Mond</t>
    </r>
  </si>
  <si>
    <r>
      <t xml:space="preserve">           </t>
    </r>
    <r>
      <rPr>
        <b/>
        <sz val="14"/>
        <rFont val="Moon Phases"/>
        <family val="2"/>
      </rPr>
      <t xml:space="preserve">@ </t>
    </r>
    <r>
      <rPr>
        <b/>
        <sz val="14"/>
        <color indexed="54"/>
        <rFont val="Arial"/>
        <family val="2"/>
      </rPr>
      <t>= Vollmond</t>
    </r>
  </si>
  <si>
    <r>
      <t xml:space="preserve">           </t>
    </r>
    <r>
      <rPr>
        <b/>
        <sz val="14"/>
        <rFont val="Moon Phases"/>
        <family val="2"/>
      </rPr>
      <t xml:space="preserve">T </t>
    </r>
    <r>
      <rPr>
        <b/>
        <sz val="14"/>
        <color indexed="54"/>
        <rFont val="Arial"/>
        <family val="2"/>
      </rPr>
      <t>= Abnehmender Mond</t>
    </r>
  </si>
  <si>
    <t>gpskoordinaten</t>
  </si>
  <si>
    <t>Geburtstage</t>
  </si>
  <si>
    <t xml:space="preserve"> (wenn diese in der Tabelle "Ferien" eingetragen wurden)</t>
  </si>
  <si>
    <t xml:space="preserve"> (wenn diese in der Tabelle "Feiertage" festgelegt wurden)</t>
  </si>
  <si>
    <t xml:space="preserve"> (wenn diese in der Tabelle "Gießtage" festgelegt wurden)</t>
  </si>
  <si>
    <t xml:space="preserve"> (wenn diese in der Tabelle "Geburtstage" eingetragen wurden)</t>
  </si>
  <si>
    <t xml:space="preserve"> (wenn welche in der Tabelle "Termine" eingetragen sind)</t>
  </si>
  <si>
    <t xml:space="preserve"> (entsprechend der Festlegung der EU, in der Tabelle "Sonne" festlegen)</t>
  </si>
  <si>
    <t>X</t>
  </si>
  <si>
    <t>Spezifische Feiertage (Bundesland)</t>
  </si>
  <si>
    <t>Bundesland festlegen</t>
  </si>
  <si>
    <t>{</t>
  </si>
  <si>
    <t>akt. Jahr</t>
  </si>
  <si>
    <t>Bitte nur ein Kriterium auswählen!</t>
  </si>
  <si>
    <t xml:space="preserve">Jahr:   </t>
  </si>
  <si>
    <t xml:space="preserve">Monat:   </t>
  </si>
  <si>
    <t>oder:</t>
  </si>
  <si>
    <t>Mondkalender Tagesempfehlungen für ein Jahr</t>
  </si>
  <si>
    <t>Prüfung neue Daten:</t>
  </si>
  <si>
    <t>In der Zelle oben kann man, bei Eintrag eines neuen Geburtstages,
überprüfen, ob an dem Tag schon Geburtstage eingetragen sind.</t>
  </si>
  <si>
    <t>Andere besondere Tage</t>
  </si>
  <si>
    <t xml:space="preserve">Hier die Daten übernehmen → Link:  </t>
  </si>
  <si>
    <t>Ferien Bundesländer</t>
  </si>
  <si>
    <t>Osterferien</t>
  </si>
  <si>
    <t>Weihnachtsferien</t>
  </si>
  <si>
    <t>Weihnachtsferien des Vorjahres:</t>
  </si>
  <si>
    <t>Weihnachten Vorjahr</t>
  </si>
  <si>
    <t>23.12. - 05.01.</t>
  </si>
  <si>
    <t>Winter</t>
  </si>
  <si>
    <t>Ostern</t>
  </si>
  <si>
    <t>Bundesland:</t>
  </si>
  <si>
    <t xml:space="preserve">             Auswahl</t>
  </si>
  <si>
    <t>Immer Weihnachtsferien des Vorjahres einfügen!</t>
  </si>
  <si>
    <t>Pfingsten</t>
  </si>
  <si>
    <t>Jedes Jahr im Dezember anpassen.</t>
  </si>
  <si>
    <t>Sommer</t>
  </si>
  <si>
    <t>Einzelne freie Tage in die grünen Zellen eintragen!</t>
  </si>
  <si>
    <t>Herbst</t>
  </si>
  <si>
    <t>Weihnachten</t>
  </si>
  <si>
    <r>
      <t>Winterferien</t>
    </r>
    <r>
      <rPr>
        <b/>
        <sz val="14"/>
        <color theme="0"/>
        <rFont val="Arial"/>
        <family val="2"/>
      </rPr>
      <t>*</t>
    </r>
  </si>
  <si>
    <t>*In Bayern Frühjahrsferien</t>
  </si>
  <si>
    <t>Achtung:</t>
  </si>
  <si>
    <t>Tabellen sind ohne Passwort gesperrt!</t>
  </si>
  <si>
    <t>Bitte nur mit einer Kopie arbeiten.</t>
  </si>
  <si>
    <t>Schulfreier Tag</t>
  </si>
  <si>
    <t>Weitere schulfreieTage</t>
  </si>
  <si>
    <t>Termin 1</t>
  </si>
  <si>
    <t>Termin 2</t>
  </si>
  <si>
    <t>Termin 3</t>
  </si>
  <si>
    <t/>
  </si>
  <si>
    <t>Neues Datum prüfen.</t>
  </si>
  <si>
    <t>Text 4</t>
  </si>
  <si>
    <r>
      <rPr>
        <b/>
        <sz val="14"/>
        <rFont val="Moon Phases"/>
        <family val="2"/>
      </rPr>
      <t xml:space="preserve"> @ </t>
    </r>
    <r>
      <rPr>
        <b/>
        <sz val="14"/>
        <color indexed="54"/>
        <rFont val="Arial"/>
        <family val="2"/>
      </rPr>
      <t>= Vollmond</t>
    </r>
  </si>
  <si>
    <r>
      <rPr>
        <b/>
        <sz val="14"/>
        <rFont val="Moon Phases"/>
        <family val="2"/>
      </rPr>
      <t xml:space="preserve"> T </t>
    </r>
    <r>
      <rPr>
        <b/>
        <sz val="14"/>
        <color indexed="54"/>
        <rFont val="Arial"/>
        <family val="2"/>
      </rPr>
      <t>= Abnehmender Mond</t>
    </r>
  </si>
  <si>
    <r>
      <rPr>
        <b/>
        <sz val="14"/>
        <rFont val="Moon Phases"/>
        <family val="2"/>
      </rPr>
      <t xml:space="preserve"> G </t>
    </r>
    <r>
      <rPr>
        <b/>
        <sz val="14"/>
        <color indexed="54"/>
        <rFont val="Arial"/>
        <family val="2"/>
      </rPr>
      <t>= Zunehmender Mond</t>
    </r>
  </si>
  <si>
    <t>23.03. - 05.04.</t>
  </si>
  <si>
    <t>21.05. - 31.05.</t>
  </si>
  <si>
    <t>25.07. - 07.09.</t>
  </si>
  <si>
    <t>28.10. - 30.10.+31.10.</t>
  </si>
  <si>
    <t>23.12. - 04.01.</t>
  </si>
  <si>
    <r>
      <rPr>
        <b/>
        <sz val="14"/>
        <rFont val="Moon Phases"/>
        <family val="2"/>
      </rPr>
      <t xml:space="preserve"> 0 </t>
    </r>
    <r>
      <rPr>
        <b/>
        <sz val="14"/>
        <color indexed="54"/>
        <rFont val="Arial"/>
        <family val="2"/>
      </rPr>
      <t>= Neumond</t>
    </r>
  </si>
  <si>
    <t>Test</t>
  </si>
  <si>
    <t>18:00</t>
  </si>
  <si>
    <t>test</t>
  </si>
  <si>
    <t>Person 1</t>
  </si>
  <si>
    <t>Person 2</t>
  </si>
  <si>
    <t>Person 3</t>
  </si>
  <si>
    <t>Person 4</t>
  </si>
  <si>
    <t>Termin 1 als Test</t>
  </si>
  <si>
    <t>Hilfstabelle</t>
  </si>
  <si>
    <t>Bad Säckingen</t>
  </si>
  <si>
    <t>Frühling</t>
  </si>
  <si>
    <t>Test 5</t>
  </si>
  <si>
    <t>Datum vor Neueingabe prüfen,</t>
  </si>
  <si>
    <t>ob schon ein Termin vorhanden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</si>
</sst>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164" formatCode="ddd\ dd/mmm\ yy"/>
    <numFmt numFmtId="165" formatCode="ddd\ dd/\ mmm\ yyyy"/>
    <numFmt numFmtId="166" formatCode="dd/mm/"/>
    <numFmt numFmtId="167" formatCode="mmmm"/>
    <numFmt numFmtId="168" formatCode="#"/>
    <numFmt numFmtId="169" formatCode="dd/mm/yy"/>
    <numFmt numFmtId="170" formatCode="dd/mm/yy;@"/>
    <numFmt numFmtId="171" formatCode="dd/mm/yy\ hh:mm"/>
    <numFmt numFmtId="172" formatCode="0.0000000000"/>
    <numFmt numFmtId="173" formatCode="0.0"/>
    <numFmt numFmtId="174" formatCode="ddd/\ d/\ mmm/\ yyyy&quot;  &quot;hh:mm&quot; MEZ&quot;"/>
    <numFmt numFmtId="175" formatCode="ddd/\ d/\ mmm/\ yyyy&quot;  &quot;hh:mm&quot; MESZ&quot;"/>
    <numFmt numFmtId="176" formatCode="ddd* dd/\ mmm\ yyyy"/>
    <numFmt numFmtId="177" formatCode="&quot;+&quot;General;[Red]&quot;-&quot;General;0"/>
    <numFmt numFmtId="178" formatCode=";;;"/>
    <numFmt numFmtId="179" formatCode="&quot;+ &quot;0.0;&quot;- &quot;0.0;"/>
    <numFmt numFmtId="180" formatCode="0.0000000_ ;[Red]\-0.0000000\ "/>
    <numFmt numFmtId="181" formatCode="0.0000000&quot; &quot;;[Red]&quot;-&quot;0.0000000&quot; &quot;"/>
    <numFmt numFmtId="182" formatCode="dd&quot;.&quot;mm&quot;.&quot;yyyy"/>
    <numFmt numFmtId="183" formatCode="[$-407]hh&quot;:&quot;mm"/>
    <numFmt numFmtId="184" formatCode="\&quot;;\&quot;;"/>
    <numFmt numFmtId="185" formatCode="mmmm&quot; '&quot;yy"/>
    <numFmt numFmtId="186" formatCode="ddd\ dd"/>
    <numFmt numFmtId="187" formatCode="ddd/"/>
  </numFmts>
  <fonts count="168">
    <font>
      <sz val="10"/>
      <name val="Arial"/>
      <family val="2"/>
    </font>
    <font>
      <sz val="10"/>
      <color indexed="63"/>
      <name val="Arial"/>
      <family val="2"/>
    </font>
    <font>
      <sz val="10"/>
      <name val="Lucida Sans"/>
      <family val="2"/>
    </font>
    <font>
      <sz val="10"/>
      <color indexed="9"/>
      <name val="Arial"/>
      <family val="2"/>
    </font>
    <font>
      <sz val="12"/>
      <color indexed="55"/>
      <name val="Arial"/>
      <family val="2"/>
    </font>
    <font>
      <sz val="10"/>
      <name val="Mangal"/>
      <family val="2"/>
    </font>
    <font>
      <sz val="10"/>
      <color indexed="53"/>
      <name val="Mangal"/>
      <family val="2"/>
    </font>
    <font>
      <shadow/>
      <sz val="10"/>
      <color indexed="53"/>
      <name val="Mangal"/>
      <family val="2"/>
    </font>
    <font>
      <sz val="10"/>
      <color indexed="9"/>
      <name val="Mangal"/>
      <family val="2"/>
    </font>
    <font>
      <b/>
      <shadow/>
      <sz val="12"/>
      <color indexed="53"/>
      <name val="Andalus"/>
      <family val="1"/>
    </font>
    <font>
      <sz val="10"/>
      <color indexed="53"/>
      <name val="Arial"/>
      <family val="2"/>
    </font>
    <font>
      <sz val="10"/>
      <color indexed="14"/>
      <name val="Arial"/>
      <family val="2"/>
    </font>
    <font>
      <sz val="12"/>
      <color indexed="9"/>
      <name val="Arial"/>
      <family val="2"/>
    </font>
    <font>
      <sz val="10"/>
      <color indexed="54"/>
      <name val="Arial"/>
      <family val="2"/>
    </font>
    <font>
      <b/>
      <sz val="10"/>
      <color indexed="63"/>
      <name val="Arial"/>
      <family val="2"/>
    </font>
    <font>
      <b/>
      <sz val="28"/>
      <color indexed="21"/>
      <name val="Arial"/>
      <family val="2"/>
    </font>
    <font>
      <b/>
      <sz val="28"/>
      <color indexed="9"/>
      <name val="Arial"/>
      <family val="2"/>
    </font>
    <font>
      <b/>
      <shadow/>
      <sz val="36"/>
      <color indexed="13"/>
      <name val="Britannic Bold"/>
      <family val="2"/>
    </font>
    <font>
      <sz val="10"/>
      <color indexed="55"/>
      <name val="Arial"/>
      <family val="2"/>
    </font>
    <font>
      <sz val="28"/>
      <color indexed="9"/>
      <name val="Arial"/>
      <family val="2"/>
    </font>
    <font>
      <sz val="10"/>
      <color indexed="23"/>
      <name val="Arial"/>
      <family val="2"/>
    </font>
    <font>
      <b/>
      <sz val="10"/>
      <color indexed="23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</font>
    <font>
      <b/>
      <shadow/>
      <sz val="16"/>
      <color indexed="10"/>
      <name val="Arial Black"/>
      <family val="2"/>
    </font>
    <font>
      <b/>
      <sz val="14"/>
      <name val="Arial"/>
      <family val="2"/>
    </font>
    <font>
      <b/>
      <sz val="12"/>
      <color indexed="10"/>
      <name val="Arial"/>
      <family val="2"/>
    </font>
    <font>
      <b/>
      <sz val="12"/>
      <name val="Arial"/>
      <family val="2"/>
    </font>
    <font>
      <sz val="10"/>
      <color indexed="25"/>
      <name val="Arial"/>
      <family val="2"/>
    </font>
    <font>
      <b/>
      <u/>
      <sz val="12"/>
      <color indexed="9"/>
      <name val="Arial"/>
      <family val="2"/>
    </font>
    <font>
      <b/>
      <shadow/>
      <sz val="20"/>
      <color indexed="13"/>
      <name val="Arial"/>
      <family val="2"/>
    </font>
    <font>
      <b/>
      <sz val="16"/>
      <name val="Arial Narrow"/>
      <family val="2"/>
    </font>
    <font>
      <sz val="20"/>
      <color indexed="55"/>
      <name val="Arial"/>
      <family val="2"/>
    </font>
    <font>
      <b/>
      <sz val="20"/>
      <color indexed="55"/>
      <name val="Arial"/>
      <family val="2"/>
    </font>
    <font>
      <b/>
      <sz val="12"/>
      <color indexed="55"/>
      <name val="Arial"/>
      <family val="2"/>
    </font>
    <font>
      <sz val="20"/>
      <name val="Arial"/>
      <family val="2"/>
    </font>
    <font>
      <u/>
      <sz val="10"/>
      <color indexed="30"/>
      <name val="Arial"/>
      <family val="2"/>
    </font>
    <font>
      <b/>
      <u/>
      <sz val="12"/>
      <color indexed="24"/>
      <name val="Arial"/>
      <family val="2"/>
    </font>
    <font>
      <sz val="8"/>
      <color indexed="53"/>
      <name val="Andalus"/>
      <family val="1"/>
    </font>
    <font>
      <sz val="24"/>
      <color indexed="54"/>
      <name val="Arial"/>
      <family val="2"/>
    </font>
    <font>
      <b/>
      <sz val="10"/>
      <color indexed="54"/>
      <name val="Arial"/>
      <family val="2"/>
    </font>
    <font>
      <sz val="24"/>
      <name val="Arial"/>
      <family val="2"/>
    </font>
    <font>
      <b/>
      <sz val="14"/>
      <color indexed="54"/>
      <name val="Arial"/>
      <family val="2"/>
    </font>
    <font>
      <b/>
      <sz val="16"/>
      <color indexed="54"/>
      <name val="Arial"/>
      <family val="2"/>
    </font>
    <font>
      <b/>
      <sz val="12"/>
      <color indexed="9"/>
      <name val="Arial"/>
      <family val="2"/>
    </font>
    <font>
      <b/>
      <sz val="20"/>
      <color indexed="10"/>
      <name val="Arial"/>
      <family val="2"/>
    </font>
    <font>
      <b/>
      <u/>
      <sz val="16"/>
      <color indexed="53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b/>
      <sz val="16"/>
      <color indexed="25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sz val="9"/>
      <color indexed="10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sz val="10"/>
      <color theme="8" tint="-0.249977111117893"/>
      <name val="Arial"/>
      <family val="2"/>
    </font>
    <font>
      <b/>
      <sz val="12"/>
      <color rgb="FFFF0000"/>
      <name val="Arial"/>
      <family val="2"/>
    </font>
    <font>
      <sz val="22"/>
      <color indexed="63"/>
      <name val="Arial"/>
      <family val="2"/>
    </font>
    <font>
      <sz val="18"/>
      <color indexed="54"/>
      <name val="Moon Phases"/>
      <family val="2"/>
    </font>
    <font>
      <b/>
      <sz val="14"/>
      <color rgb="FFFF0000"/>
      <name val="Arial"/>
      <family val="2"/>
    </font>
    <font>
      <sz val="28"/>
      <name val="Arial"/>
      <family val="2"/>
    </font>
    <font>
      <b/>
      <sz val="10"/>
      <color rgb="FF0070C0"/>
      <name val="Arial"/>
      <family val="2"/>
    </font>
    <font>
      <sz val="10"/>
      <color rgb="FF0070C0"/>
      <name val="Arial"/>
      <family val="2"/>
    </font>
    <font>
      <sz val="20"/>
      <color theme="0"/>
      <name val="Arial"/>
      <family val="2"/>
    </font>
    <font>
      <b/>
      <sz val="12"/>
      <color indexed="54"/>
      <name val="Arial"/>
      <family val="2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b/>
      <sz val="12"/>
      <color theme="0"/>
      <name val="Arial Narrow"/>
      <family val="2"/>
    </font>
    <font>
      <sz val="28"/>
      <color theme="0"/>
      <name val="Arial"/>
      <family val="2"/>
    </font>
    <font>
      <b/>
      <sz val="14"/>
      <name val="Moon Phases"/>
      <family val="2"/>
    </font>
    <font>
      <sz val="16"/>
      <name val="Moon Phases"/>
      <family val="2"/>
    </font>
    <font>
      <sz val="11"/>
      <name val="Arial"/>
      <family val="2"/>
    </font>
    <font>
      <b/>
      <sz val="10"/>
      <color rgb="FF0707B9"/>
      <name val="Arial"/>
      <family val="2"/>
    </font>
    <font>
      <b/>
      <sz val="10"/>
      <color theme="0"/>
      <name val="Arial"/>
      <family val="2"/>
    </font>
    <font>
      <b/>
      <sz val="14"/>
      <color indexed="63"/>
      <name val="Arial"/>
      <family val="2"/>
    </font>
    <font>
      <b/>
      <sz val="14"/>
      <color theme="8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00B050"/>
      <name val="Arial"/>
      <family val="2"/>
    </font>
    <font>
      <sz val="10"/>
      <color rgb="FF000000"/>
      <name val="Arial"/>
      <family val="2"/>
    </font>
    <font>
      <b/>
      <sz val="10"/>
      <color rgb="FF33CCCC"/>
      <name val="Arial"/>
      <family val="2"/>
    </font>
    <font>
      <b/>
      <sz val="12"/>
      <color rgb="FFFF3333"/>
      <name val="Arial"/>
      <family val="2"/>
    </font>
    <font>
      <b/>
      <sz val="12"/>
      <color rgb="FF0033CC"/>
      <name val="Arial"/>
      <family val="2"/>
    </font>
    <font>
      <b/>
      <sz val="12"/>
      <color rgb="FF3333FF"/>
      <name val="Arial"/>
      <family val="2"/>
    </font>
    <font>
      <b/>
      <sz val="12"/>
      <color rgb="FF00B050"/>
      <name val="Arial"/>
      <family val="2"/>
    </font>
    <font>
      <sz val="14"/>
      <color indexed="63"/>
      <name val="Arial"/>
      <family val="2"/>
    </font>
    <font>
      <sz val="14"/>
      <color indexed="54"/>
      <name val="Arial"/>
      <family val="2"/>
    </font>
    <font>
      <b/>
      <sz val="14"/>
      <color rgb="FF5B9BD5"/>
      <name val="Arial Black"/>
      <family val="2"/>
    </font>
    <font>
      <b/>
      <sz val="14"/>
      <color indexed="54"/>
      <name val="Arial Rounded MT Bold"/>
      <family val="2"/>
    </font>
    <font>
      <b/>
      <sz val="14"/>
      <color rgb="FF6699FF"/>
      <name val="Arial"/>
      <family val="2"/>
    </font>
    <font>
      <sz val="12"/>
      <color rgb="FF000000"/>
      <name val="Arial"/>
      <family val="2"/>
    </font>
    <font>
      <b/>
      <u/>
      <sz val="12"/>
      <color rgb="FF4472C4"/>
      <name val="Arial"/>
      <family val="2"/>
    </font>
    <font>
      <b/>
      <sz val="12"/>
      <color rgb="FF4472C4"/>
      <name val="Arial"/>
      <family val="2"/>
    </font>
    <font>
      <b/>
      <sz val="12"/>
      <color rgb="FF339966"/>
      <name val="Arial"/>
      <family val="2"/>
    </font>
    <font>
      <u/>
      <sz val="12"/>
      <color rgb="FF0563C1"/>
      <name val="Arial"/>
      <family val="2"/>
    </font>
    <font>
      <b/>
      <sz val="10"/>
      <color theme="1"/>
      <name val="Arial"/>
      <family val="2"/>
    </font>
    <font>
      <b/>
      <sz val="12"/>
      <color rgb="FF0070C0"/>
      <name val="Arial"/>
      <family val="2"/>
    </font>
    <font>
      <shadow/>
      <sz val="14"/>
      <color indexed="10"/>
      <name val="Arial Black"/>
      <family val="2"/>
    </font>
    <font>
      <b/>
      <sz val="12"/>
      <color rgb="FF000099"/>
      <name val="Arial"/>
      <family val="2"/>
    </font>
    <font>
      <b/>
      <sz val="12"/>
      <color theme="1"/>
      <name val="Arial"/>
      <family val="2"/>
    </font>
    <font>
      <b/>
      <sz val="14"/>
      <color rgb="FF333333"/>
      <name val="Arial"/>
      <family val="2"/>
    </font>
    <font>
      <b/>
      <sz val="18"/>
      <color theme="0"/>
      <name val="Calibri"/>
      <family val="2"/>
    </font>
    <font>
      <sz val="11"/>
      <color theme="0"/>
      <name val="Calibri"/>
      <family val="2"/>
    </font>
    <font>
      <sz val="11"/>
      <color indexed="9"/>
      <name val="Calibri"/>
      <family val="2"/>
    </font>
    <font>
      <b/>
      <sz val="18"/>
      <color indexed="9"/>
      <name val="Calibri"/>
      <family val="2"/>
    </font>
    <font>
      <b/>
      <sz val="12"/>
      <color theme="0"/>
      <name val="Calibri"/>
      <family val="2"/>
    </font>
    <font>
      <sz val="11"/>
      <name val="Calibri"/>
      <family val="2"/>
    </font>
    <font>
      <b/>
      <sz val="14"/>
      <color indexed="8"/>
      <name val="Calibri"/>
      <family val="2"/>
    </font>
    <font>
      <sz val="14"/>
      <color theme="0"/>
      <name val="Calibri"/>
      <family val="2"/>
    </font>
    <font>
      <b/>
      <sz val="18"/>
      <name val="Calibri"/>
      <family val="2"/>
    </font>
    <font>
      <b/>
      <sz val="16"/>
      <color rgb="FF00B050"/>
      <name val="Arial Narrow"/>
      <family val="2"/>
    </font>
    <font>
      <b/>
      <sz val="16"/>
      <color indexed="10"/>
      <name val="Arial Narrow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8"/>
      <name val="Calibri"/>
      <family val="2"/>
      <scheme val="minor"/>
    </font>
    <font>
      <b/>
      <sz val="22"/>
      <color theme="0"/>
      <name val="Calibri"/>
      <family val="2"/>
    </font>
    <font>
      <b/>
      <sz val="12"/>
      <color rgb="FF0000CC"/>
      <name val="Arial"/>
      <family val="2"/>
    </font>
    <font>
      <b/>
      <sz val="16"/>
      <color rgb="FF06A220"/>
      <name val="Arial Narrow"/>
      <family val="2"/>
    </font>
    <font>
      <sz val="10"/>
      <color rgb="FF3399FF"/>
      <name val="Arial"/>
      <family val="2"/>
    </font>
    <font>
      <b/>
      <sz val="10"/>
      <color rgb="FF0000CC"/>
      <name val="Arial"/>
      <family val="2"/>
    </font>
    <font>
      <b/>
      <sz val="14"/>
      <color rgb="FF5B9BD5"/>
      <name val="Arial"/>
      <family val="2"/>
    </font>
    <font>
      <b/>
      <sz val="14"/>
      <color rgb="FF009900"/>
      <name val="Webdings"/>
      <family val="1"/>
      <charset val="2"/>
    </font>
    <font>
      <sz val="14"/>
      <name val="Arial"/>
      <family val="2"/>
    </font>
    <font>
      <b/>
      <sz val="16"/>
      <color theme="0"/>
      <name val="Arial"/>
      <family val="2"/>
    </font>
    <font>
      <b/>
      <u/>
      <sz val="14"/>
      <color rgb="FFFF0000"/>
      <name val="Arial"/>
      <family val="2"/>
    </font>
    <font>
      <sz val="8"/>
      <name val="Arial"/>
      <family val="2"/>
    </font>
    <font>
      <b/>
      <sz val="16"/>
      <color rgb="FF009900"/>
      <name val="Arial"/>
      <family val="2"/>
    </font>
    <font>
      <b/>
      <sz val="12"/>
      <name val="Moon Phases"/>
      <family val="2"/>
    </font>
    <font>
      <b/>
      <shadow/>
      <u/>
      <sz val="14"/>
      <color indexed="10"/>
      <name val="Arial"/>
      <family val="2"/>
    </font>
    <font>
      <b/>
      <sz val="15"/>
      <color theme="0"/>
      <name val="Arial"/>
      <family val="2"/>
    </font>
    <font>
      <b/>
      <sz val="15"/>
      <color indexed="46"/>
      <name val="Arial"/>
      <family val="2"/>
    </font>
    <font>
      <b/>
      <shadow/>
      <sz val="15"/>
      <color indexed="9"/>
      <name val="Arial"/>
      <family val="2"/>
    </font>
    <font>
      <sz val="12"/>
      <color rgb="FF000000"/>
      <name val="Source Code Pro"/>
      <family val="3"/>
    </font>
    <font>
      <b/>
      <sz val="14"/>
      <color rgb="FF3399FF"/>
      <name val="Arial"/>
      <family val="2"/>
    </font>
    <font>
      <b/>
      <sz val="10"/>
      <color rgb="FFFF0000"/>
      <name val="Arial"/>
      <family val="2"/>
    </font>
    <font>
      <b/>
      <sz val="28"/>
      <color rgb="FFFF0000"/>
      <name val="Arial"/>
      <family val="2"/>
    </font>
    <font>
      <sz val="10"/>
      <color rgb="FFFF0000"/>
      <name val="Arial"/>
      <family val="2"/>
    </font>
    <font>
      <b/>
      <shadow/>
      <sz val="16"/>
      <color rgb="FFFF0000"/>
      <name val="Arial Black"/>
      <family val="2"/>
    </font>
    <font>
      <sz val="14"/>
      <color rgb="FFFF0000"/>
      <name val="Arial"/>
      <family val="2"/>
    </font>
    <font>
      <b/>
      <sz val="20"/>
      <color rgb="FFFF0000"/>
      <name val="Arial"/>
      <family val="2"/>
    </font>
    <font>
      <sz val="14"/>
      <color theme="0"/>
      <name val="Arial"/>
      <family val="2"/>
    </font>
    <font>
      <b/>
      <sz val="14"/>
      <color theme="0"/>
      <name val="Arial Rounded MT Bold"/>
      <family val="2"/>
    </font>
    <font>
      <b/>
      <sz val="14"/>
      <name val="Arial Narrow"/>
      <family val="2"/>
    </font>
    <font>
      <sz val="10"/>
      <color theme="0"/>
      <name val="Tierkreis 3"/>
    </font>
    <font>
      <b/>
      <u/>
      <sz val="14"/>
      <color indexed="30"/>
      <name val="Arial"/>
      <family val="2"/>
    </font>
    <font>
      <sz val="10"/>
      <color theme="1"/>
      <name val="Arial"/>
      <family val="2"/>
    </font>
    <font>
      <b/>
      <sz val="10"/>
      <color rgb="FF333333"/>
      <name val="Arial"/>
      <family val="2"/>
    </font>
    <font>
      <b/>
      <sz val="16"/>
      <color rgb="FF06A220"/>
      <name val="Wingdings"/>
      <charset val="2"/>
    </font>
    <font>
      <b/>
      <sz val="16"/>
      <color rgb="FF00B050"/>
      <name val="Wingdings"/>
      <charset val="2"/>
    </font>
    <font>
      <b/>
      <sz val="16"/>
      <color rgb="FF00B050"/>
      <name val="Arial"/>
      <family val="2"/>
    </font>
    <font>
      <sz val="10"/>
      <color rgb="FF5B9BD5"/>
      <name val="Arial"/>
      <family val="2"/>
    </font>
    <font>
      <b/>
      <sz val="10"/>
      <color rgb="FF3399FF"/>
      <name val="Arial"/>
      <family val="2"/>
    </font>
    <font>
      <b/>
      <sz val="16"/>
      <color rgb="FF3399FF"/>
      <name val="Arial"/>
      <family val="2"/>
    </font>
    <font>
      <b/>
      <u/>
      <sz val="12"/>
      <color indexed="30"/>
      <name val="Arial"/>
      <family val="2"/>
    </font>
    <font>
      <b/>
      <u/>
      <sz val="10"/>
      <color indexed="30"/>
      <name val="Arial"/>
      <family val="2"/>
    </font>
    <font>
      <b/>
      <sz val="16"/>
      <color rgb="FFFF0000"/>
      <name val="Arial"/>
      <family val="2"/>
    </font>
    <font>
      <b/>
      <u/>
      <sz val="12"/>
      <color theme="10"/>
      <name val="Arial"/>
      <family val="2"/>
    </font>
    <font>
      <b/>
      <sz val="10"/>
      <color rgb="FF48556A"/>
      <name val="Arial"/>
      <family val="2"/>
    </font>
    <font>
      <b/>
      <sz val="14"/>
      <color rgb="FF009900"/>
      <name val="Wingdings"/>
      <charset val="2"/>
    </font>
    <font>
      <b/>
      <sz val="22"/>
      <color rgb="FF009900"/>
      <name val="Wingdings"/>
      <charset val="2"/>
    </font>
    <font>
      <b/>
      <u/>
      <sz val="12"/>
      <color theme="0"/>
      <name val="Arial"/>
      <family val="2"/>
    </font>
    <font>
      <sz val="10"/>
      <color rgb="FF48556A"/>
      <name val="Arial"/>
      <family val="2"/>
    </font>
    <font>
      <sz val="10"/>
      <color rgb="FF0000CC"/>
      <name val="Arial"/>
      <family val="2"/>
    </font>
    <font>
      <sz val="12"/>
      <color rgb="FFFF0000"/>
      <name val="Arial"/>
      <family val="2"/>
    </font>
    <font>
      <b/>
      <sz val="18"/>
      <color theme="0"/>
      <name val="Arial"/>
      <family val="2"/>
    </font>
    <font>
      <sz val="24"/>
      <color theme="0"/>
      <name val="Arial"/>
      <family val="2"/>
    </font>
    <font>
      <sz val="10"/>
      <color rgb="FFFF0000"/>
      <name val="Tierkreis 3"/>
    </font>
  </fonts>
  <fills count="54">
    <fill>
      <patternFill patternType="none"/>
    </fill>
    <fill>
      <patternFill patternType="gray125"/>
    </fill>
    <fill>
      <patternFill patternType="solid">
        <fgColor indexed="53"/>
        <bgColor indexed="25"/>
      </patternFill>
    </fill>
    <fill>
      <patternFill patternType="solid">
        <fgColor indexed="31"/>
        <bgColor indexed="41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31"/>
      </patternFill>
    </fill>
    <fill>
      <patternFill patternType="solid">
        <fgColor indexed="54"/>
        <bgColor indexed="56"/>
      </patternFill>
    </fill>
    <fill>
      <patternFill patternType="solid">
        <fgColor indexed="55"/>
        <bgColor indexed="23"/>
      </patternFill>
    </fill>
    <fill>
      <patternFill patternType="solid">
        <fgColor indexed="23"/>
        <bgColor indexed="55"/>
      </patternFill>
    </fill>
    <fill>
      <patternFill patternType="solid">
        <fgColor indexed="9"/>
        <bgColor indexed="26"/>
      </patternFill>
    </fill>
    <fill>
      <patternFill patternType="solid">
        <fgColor indexed="10"/>
        <bgColor indexed="53"/>
      </patternFill>
    </fill>
    <fill>
      <patternFill patternType="solid">
        <fgColor indexed="13"/>
        <bgColor indexed="34"/>
      </patternFill>
    </fill>
    <fill>
      <patternFill patternType="solid">
        <fgColor indexed="41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11"/>
        <bgColor indexed="49"/>
      </patternFill>
    </fill>
    <fill>
      <patternFill patternType="solid">
        <fgColor indexed="27"/>
        <bgColor indexed="41"/>
      </patternFill>
    </fill>
    <fill>
      <patternFill patternType="solid">
        <fgColor rgb="FFFF0000"/>
        <bgColor indexed="26"/>
      </patternFill>
    </fill>
    <fill>
      <patternFill patternType="solid">
        <fgColor theme="0"/>
        <bgColor indexed="55"/>
      </patternFill>
    </fill>
    <fill>
      <patternFill patternType="solid">
        <fgColor theme="0"/>
        <bgColor indexed="23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42"/>
      </patternFill>
    </fill>
    <fill>
      <patternFill patternType="solid">
        <fgColor rgb="FFCCFFFF"/>
        <bgColor indexed="55"/>
      </patternFill>
    </fill>
    <fill>
      <patternFill patternType="solid">
        <fgColor theme="4"/>
        <bgColor indexed="64"/>
      </patternFill>
    </fill>
    <fill>
      <patternFill patternType="solid">
        <fgColor theme="4"/>
        <bgColor indexed="34"/>
      </patternFill>
    </fill>
    <fill>
      <patternFill patternType="solid">
        <fgColor rgb="FF5B9BD5"/>
        <bgColor indexed="64"/>
      </patternFill>
    </fill>
    <fill>
      <patternFill patternType="solid">
        <fgColor rgb="FF5B9BD5"/>
        <bgColor indexed="34"/>
      </patternFill>
    </fill>
    <fill>
      <patternFill patternType="solid">
        <fgColor rgb="FFFF0000"/>
        <bgColor indexed="64"/>
      </patternFill>
    </fill>
    <fill>
      <patternFill patternType="solid">
        <fgColor rgb="FF5B9BD5"/>
        <bgColor indexed="26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23"/>
      </patternFill>
    </fill>
    <fill>
      <patternFill patternType="solid">
        <fgColor theme="0" tint="-0.14999847407452621"/>
        <bgColor indexed="55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55"/>
      </patternFill>
    </fill>
    <fill>
      <patternFill patternType="solid">
        <fgColor indexed="62"/>
        <bgColor indexed="56"/>
      </patternFill>
    </fill>
    <fill>
      <patternFill patternType="solid">
        <fgColor theme="0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theme="0"/>
        <bgColor indexed="60"/>
      </patternFill>
    </fill>
    <fill>
      <patternFill patternType="solid">
        <fgColor theme="0"/>
        <bgColor indexed="42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0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0000"/>
        <bgColor indexed="56"/>
      </patternFill>
    </fill>
    <fill>
      <patternFill patternType="solid">
        <fgColor rgb="FF0000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55"/>
      </patternFill>
    </fill>
    <fill>
      <patternFill patternType="solid">
        <fgColor rgb="FF0070C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/>
        <bgColor indexed="55"/>
      </patternFill>
    </fill>
    <fill>
      <patternFill patternType="solid">
        <fgColor theme="4"/>
        <bgColor indexed="30"/>
      </patternFill>
    </fill>
  </fills>
  <borders count="266">
    <border>
      <left/>
      <right/>
      <top/>
      <bottom/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9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n">
        <color theme="4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FF0000"/>
      </left>
      <right/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/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/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/>
      <right/>
      <top style="thin">
        <color rgb="FF000000"/>
      </top>
      <bottom/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rgb="FFFF3333"/>
      </bottom>
      <diagonal/>
    </border>
    <border>
      <left/>
      <right/>
      <top/>
      <bottom style="medium">
        <color rgb="FFFF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medium">
        <color rgb="FFFF0000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rgb="FFFF0000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indexed="8"/>
      </right>
      <top/>
      <bottom/>
      <diagonal/>
    </border>
    <border>
      <left style="thick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8"/>
      </left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rgb="FF00B050"/>
      </left>
      <right/>
      <top style="medium">
        <color rgb="FF00B050"/>
      </top>
      <bottom style="medium">
        <color rgb="FF00B050"/>
      </bottom>
      <diagonal/>
    </border>
    <border>
      <left/>
      <right/>
      <top style="medium">
        <color rgb="FF00B050"/>
      </top>
      <bottom style="medium">
        <color rgb="FF00B050"/>
      </bottom>
      <diagonal/>
    </border>
    <border>
      <left/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medium">
        <color rgb="FF00B050"/>
      </left>
      <right/>
      <top style="medium">
        <color rgb="FF00B050"/>
      </top>
      <bottom/>
      <diagonal/>
    </border>
    <border>
      <left/>
      <right/>
      <top style="medium">
        <color rgb="FF00B050"/>
      </top>
      <bottom/>
      <diagonal/>
    </border>
    <border>
      <left/>
      <right style="medium">
        <color rgb="FF00B050"/>
      </right>
      <top style="medium">
        <color rgb="FF00B050"/>
      </top>
      <bottom/>
      <diagonal/>
    </border>
    <border>
      <left style="medium">
        <color rgb="FF00B050"/>
      </left>
      <right/>
      <top/>
      <bottom/>
      <diagonal/>
    </border>
    <border>
      <left/>
      <right style="medium">
        <color rgb="FF00B050"/>
      </right>
      <top/>
      <bottom/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indexed="8"/>
      </left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indexed="8"/>
      </bottom>
      <diagonal/>
    </border>
    <border>
      <left style="thick">
        <color auto="1"/>
      </left>
      <right style="thick">
        <color auto="1"/>
      </right>
      <top/>
      <bottom style="thick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56"/>
      </left>
      <right/>
      <top style="thick">
        <color indexed="56"/>
      </top>
      <bottom style="thick">
        <color indexed="56"/>
      </bottom>
      <diagonal/>
    </border>
    <border>
      <left/>
      <right/>
      <top style="thick">
        <color indexed="56"/>
      </top>
      <bottom style="thick">
        <color indexed="56"/>
      </bottom>
      <diagonal/>
    </border>
    <border>
      <left/>
      <right style="thick">
        <color indexed="56"/>
      </right>
      <top style="thick">
        <color indexed="56"/>
      </top>
      <bottom style="thick">
        <color indexed="56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auto="1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auto="1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 style="thin">
        <color rgb="FFFF0000"/>
      </bottom>
      <diagonal/>
    </border>
    <border>
      <left/>
      <right/>
      <top style="medium">
        <color rgb="FFFF0000"/>
      </top>
      <bottom style="thin">
        <color rgb="FFFF0000"/>
      </bottom>
      <diagonal/>
    </border>
    <border>
      <left/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 style="medium">
        <color rgb="FFFF0000"/>
      </left>
      <right/>
      <top style="thin">
        <color rgb="FFFF0000"/>
      </top>
      <bottom style="medium">
        <color rgb="FFFF0000"/>
      </bottom>
      <diagonal/>
    </border>
    <border>
      <left/>
      <right/>
      <top style="thin">
        <color rgb="FFFF0000"/>
      </top>
      <bottom style="medium">
        <color rgb="FFFF0000"/>
      </bottom>
      <diagonal/>
    </border>
    <border>
      <left/>
      <right style="medium">
        <color rgb="FFFF0000"/>
      </right>
      <top style="thin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auto="1"/>
      </left>
      <right/>
      <top style="medium">
        <color rgb="FFFF0000"/>
      </top>
      <bottom/>
      <diagonal/>
    </border>
    <border>
      <left/>
      <right style="medium">
        <color auto="1"/>
      </right>
      <top style="medium">
        <color rgb="FFFF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theme="1"/>
      </left>
      <right style="medium">
        <color indexed="64"/>
      </right>
      <top style="medium">
        <color theme="1"/>
      </top>
      <bottom style="medium">
        <color auto="1"/>
      </bottom>
      <diagonal/>
    </border>
    <border>
      <left style="medium">
        <color indexed="9"/>
      </left>
      <right style="medium">
        <color theme="1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10"/>
      </right>
      <top style="medium">
        <color indexed="9"/>
      </top>
      <bottom style="medium">
        <color indexed="9"/>
      </bottom>
      <diagonal/>
    </border>
  </borders>
  <cellStyleXfs count="29">
    <xf numFmtId="0" fontId="0" fillId="0" borderId="0"/>
    <xf numFmtId="0" fontId="36" fillId="0" borderId="0" applyNumberFormat="0" applyFill="0" applyBorder="0" applyAlignment="0" applyProtection="0"/>
    <xf numFmtId="20" fontId="1" fillId="0" borderId="0" applyProtection="0">
      <alignment horizontal="center"/>
    </xf>
    <xf numFmtId="0" fontId="1" fillId="0" borderId="0" applyNumberFormat="0" applyAlignment="0" applyProtection="0"/>
    <xf numFmtId="164" fontId="1" fillId="0" borderId="1" applyAlignment="0" applyProtection="0"/>
    <xf numFmtId="0" fontId="54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0" borderId="0" applyNumberFormat="0" applyFill="0" applyBorder="0" applyAlignment="0" applyProtection="0"/>
    <xf numFmtId="164" fontId="4" fillId="3" borderId="1" applyAlignment="0" applyProtection="0"/>
    <xf numFmtId="20" fontId="4" fillId="3" borderId="1" applyProtection="0">
      <alignment horizontal="center"/>
    </xf>
    <xf numFmtId="20" fontId="4" fillId="3" borderId="1" applyProtection="0">
      <alignment horizontal="left"/>
    </xf>
    <xf numFmtId="0" fontId="3" fillId="0" borderId="0" applyNumberFormat="0" applyFill="0" applyBorder="0" applyAlignment="0" applyProtection="0"/>
    <xf numFmtId="0" fontId="5" fillId="4" borderId="0" applyNumberFormat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8" fillId="5" borderId="0" applyNumberFormat="0" applyBorder="0" applyAlignment="0" applyProtection="0"/>
    <xf numFmtId="0" fontId="6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0" borderId="2" applyNumberFormat="0" applyAlignment="0" applyProtection="0"/>
    <xf numFmtId="0" fontId="72" fillId="0" borderId="0"/>
    <xf numFmtId="0" fontId="72" fillId="0" borderId="0"/>
    <xf numFmtId="185" fontId="104" fillId="33" borderId="63" applyProtection="0">
      <alignment horizontal="center"/>
    </xf>
    <xf numFmtId="185" fontId="104" fillId="35" borderId="63" applyProtection="0">
      <alignment horizontal="center"/>
    </xf>
  </cellStyleXfs>
  <cellXfs count="894">
    <xf numFmtId="0" fontId="0" fillId="0" borderId="0" xfId="0"/>
    <xf numFmtId="0" fontId="12" fillId="6" borderId="0" xfId="0" applyFont="1" applyFill="1" applyAlignment="1" applyProtection="1">
      <alignment vertical="center"/>
      <protection hidden="1"/>
    </xf>
    <xf numFmtId="0" fontId="0" fillId="7" borderId="0" xfId="0" applyFill="1" applyAlignment="1" applyProtection="1">
      <alignment vertical="center"/>
      <protection hidden="1"/>
    </xf>
    <xf numFmtId="164" fontId="13" fillId="7" borderId="0" xfId="0" applyNumberFormat="1" applyFont="1" applyFill="1" applyAlignment="1" applyProtection="1">
      <alignment vertical="center"/>
      <protection hidden="1"/>
    </xf>
    <xf numFmtId="0" fontId="1" fillId="7" borderId="0" xfId="0" applyFont="1" applyFill="1" applyAlignment="1" applyProtection="1">
      <alignment horizontal="center" vertical="center"/>
      <protection hidden="1"/>
    </xf>
    <xf numFmtId="0" fontId="1" fillId="7" borderId="0" xfId="0" applyFont="1" applyFill="1" applyAlignment="1" applyProtection="1">
      <alignment vertical="center"/>
      <protection hidden="1"/>
    </xf>
    <xf numFmtId="0" fontId="14" fillId="7" borderId="0" xfId="0" applyFont="1" applyFill="1" applyAlignment="1" applyProtection="1">
      <alignment vertical="center"/>
      <protection hidden="1"/>
    </xf>
    <xf numFmtId="0" fontId="16" fillId="8" borderId="0" xfId="0" applyFont="1" applyFill="1" applyAlignment="1" applyProtection="1">
      <alignment horizontal="left" vertical="center"/>
      <protection hidden="1"/>
    </xf>
    <xf numFmtId="164" fontId="16" fillId="8" borderId="0" xfId="0" applyNumberFormat="1" applyFont="1" applyFill="1" applyAlignment="1" applyProtection="1">
      <alignment horizontal="left" vertical="center"/>
      <protection hidden="1"/>
    </xf>
    <xf numFmtId="0" fontId="0" fillId="9" borderId="0" xfId="0" applyFill="1" applyAlignment="1" applyProtection="1">
      <alignment vertical="center"/>
      <protection hidden="1"/>
    </xf>
    <xf numFmtId="0" fontId="18" fillId="8" borderId="0" xfId="0" applyFont="1" applyFill="1" applyAlignment="1" applyProtection="1">
      <alignment vertical="center"/>
      <protection hidden="1"/>
    </xf>
    <xf numFmtId="0" fontId="19" fillId="9" borderId="3" xfId="0" applyFont="1" applyFill="1" applyBorder="1" applyAlignment="1" applyProtection="1">
      <alignment vertical="center"/>
      <protection hidden="1"/>
    </xf>
    <xf numFmtId="0" fontId="19" fillId="7" borderId="3" xfId="0" applyFont="1" applyFill="1" applyBorder="1" applyAlignment="1" applyProtection="1">
      <alignment vertical="center"/>
      <protection hidden="1"/>
    </xf>
    <xf numFmtId="164" fontId="20" fillId="8" borderId="0" xfId="0" applyNumberFormat="1" applyFont="1" applyFill="1" applyAlignment="1" applyProtection="1">
      <alignment vertical="center"/>
      <protection hidden="1"/>
    </xf>
    <xf numFmtId="0" fontId="20" fillId="8" borderId="0" xfId="0" applyFont="1" applyFill="1" applyAlignment="1" applyProtection="1">
      <alignment vertical="center"/>
      <protection hidden="1"/>
    </xf>
    <xf numFmtId="0" fontId="21" fillId="8" borderId="0" xfId="0" applyFont="1" applyFill="1" applyAlignment="1" applyProtection="1">
      <alignment vertical="center"/>
      <protection hidden="1"/>
    </xf>
    <xf numFmtId="0" fontId="18" fillId="9" borderId="0" xfId="0" applyFont="1" applyFill="1" applyAlignment="1" applyProtection="1">
      <alignment vertical="center"/>
      <protection hidden="1"/>
    </xf>
    <xf numFmtId="0" fontId="18" fillId="7" borderId="0" xfId="0" applyFont="1" applyFill="1" applyAlignment="1" applyProtection="1">
      <alignment vertical="center"/>
      <protection hidden="1"/>
    </xf>
    <xf numFmtId="0" fontId="28" fillId="8" borderId="0" xfId="6" applyFont="1" applyFill="1" applyBorder="1" applyAlignment="1" applyProtection="1">
      <alignment vertical="center"/>
      <protection hidden="1"/>
    </xf>
    <xf numFmtId="0" fontId="28" fillId="9" borderId="0" xfId="0" applyFont="1" applyFill="1" applyAlignment="1" applyProtection="1">
      <alignment vertical="center"/>
      <protection hidden="1"/>
    </xf>
    <xf numFmtId="0" fontId="28" fillId="7" borderId="0" xfId="0" applyFont="1" applyFill="1" applyAlignment="1" applyProtection="1">
      <alignment vertical="center"/>
      <protection hidden="1"/>
    </xf>
    <xf numFmtId="0" fontId="1" fillId="8" borderId="0" xfId="6" applyFont="1" applyFill="1" applyBorder="1" applyAlignment="1" applyProtection="1">
      <alignment vertical="center"/>
      <protection hidden="1"/>
    </xf>
    <xf numFmtId="0" fontId="1" fillId="9" borderId="0" xfId="0" applyFont="1" applyFill="1" applyAlignment="1" applyProtection="1">
      <alignment vertical="center"/>
      <protection hidden="1"/>
    </xf>
    <xf numFmtId="0" fontId="0" fillId="8" borderId="0" xfId="0" applyFill="1" applyAlignment="1" applyProtection="1">
      <alignment vertical="center"/>
      <protection hidden="1"/>
    </xf>
    <xf numFmtId="164" fontId="13" fillId="8" borderId="0" xfId="0" applyNumberFormat="1" applyFont="1" applyFill="1" applyAlignment="1" applyProtection="1">
      <alignment vertical="center"/>
      <protection hidden="1"/>
    </xf>
    <xf numFmtId="0" fontId="1" fillId="8" borderId="0" xfId="0" applyFont="1" applyFill="1" applyAlignment="1" applyProtection="1">
      <alignment horizontal="center" vertical="center"/>
      <protection hidden="1"/>
    </xf>
    <xf numFmtId="0" fontId="14" fillId="8" borderId="0" xfId="0" applyFont="1" applyFill="1" applyAlignment="1" applyProtection="1">
      <alignment vertical="center"/>
      <protection hidden="1"/>
    </xf>
    <xf numFmtId="164" fontId="30" fillId="8" borderId="0" xfId="0" applyNumberFormat="1" applyFont="1" applyFill="1" applyAlignment="1" applyProtection="1">
      <alignment vertical="center"/>
      <protection hidden="1"/>
    </xf>
    <xf numFmtId="0" fontId="32" fillId="7" borderId="0" xfId="0" applyFont="1" applyFill="1" applyAlignment="1" applyProtection="1">
      <alignment vertical="center"/>
      <protection hidden="1"/>
    </xf>
    <xf numFmtId="0" fontId="32" fillId="9" borderId="0" xfId="0" applyFont="1" applyFill="1" applyAlignment="1" applyProtection="1">
      <alignment vertical="center"/>
      <protection hidden="1"/>
    </xf>
    <xf numFmtId="0" fontId="0" fillId="0" borderId="0" xfId="0" applyProtection="1">
      <protection hidden="1"/>
    </xf>
    <xf numFmtId="0" fontId="3" fillId="0" borderId="0" xfId="0" applyFont="1" applyProtection="1">
      <protection hidden="1"/>
    </xf>
    <xf numFmtId="0" fontId="27" fillId="0" borderId="7" xfId="0" applyFont="1" applyBorder="1" applyProtection="1">
      <protection hidden="1"/>
    </xf>
    <xf numFmtId="0" fontId="27" fillId="0" borderId="7" xfId="0" applyFont="1" applyBorder="1" applyAlignment="1" applyProtection="1">
      <alignment horizontal="center"/>
      <protection hidden="1"/>
    </xf>
    <xf numFmtId="0" fontId="44" fillId="0" borderId="0" xfId="0" applyFont="1" applyProtection="1">
      <protection hidden="1"/>
    </xf>
    <xf numFmtId="14" fontId="27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44" fillId="0" borderId="0" xfId="0" applyFont="1" applyAlignment="1" applyProtection="1">
      <alignment horizontal="center" vertical="center" wrapText="1"/>
      <protection hidden="1"/>
    </xf>
    <xf numFmtId="49" fontId="0" fillId="0" borderId="0" xfId="0" applyNumberFormat="1" applyProtection="1">
      <protection hidden="1"/>
    </xf>
    <xf numFmtId="0" fontId="27" fillId="0" borderId="0" xfId="0" applyFont="1" applyAlignment="1" applyProtection="1">
      <alignment horizontal="center" vertical="center" wrapText="1"/>
      <protection hidden="1"/>
    </xf>
    <xf numFmtId="0" fontId="25" fillId="0" borderId="0" xfId="0" applyFont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center"/>
      <protection hidden="1"/>
    </xf>
    <xf numFmtId="14" fontId="27" fillId="0" borderId="0" xfId="0" applyNumberFormat="1" applyFont="1" applyAlignment="1" applyProtection="1">
      <alignment horizontal="center"/>
      <protection hidden="1"/>
    </xf>
    <xf numFmtId="14" fontId="27" fillId="0" borderId="0" xfId="0" applyNumberFormat="1" applyFont="1" applyAlignment="1" applyProtection="1">
      <alignment horizontal="center" vertical="center" wrapText="1"/>
      <protection hidden="1"/>
    </xf>
    <xf numFmtId="49" fontId="27" fillId="0" borderId="0" xfId="0" applyNumberFormat="1" applyFont="1" applyAlignment="1" applyProtection="1">
      <alignment horizontal="left" vertical="center" wrapText="1"/>
      <protection hidden="1"/>
    </xf>
    <xf numFmtId="0" fontId="27" fillId="0" borderId="0" xfId="0" applyFont="1" applyAlignment="1" applyProtection="1">
      <alignment horizontal="left"/>
      <protection hidden="1"/>
    </xf>
    <xf numFmtId="0" fontId="0" fillId="0" borderId="0" xfId="0" applyAlignment="1" applyProtection="1">
      <alignment horizontal="center"/>
      <protection hidden="1"/>
    </xf>
    <xf numFmtId="14" fontId="0" fillId="0" borderId="0" xfId="0" applyNumberFormat="1" applyAlignment="1" applyProtection="1">
      <alignment horizontal="center"/>
      <protection hidden="1"/>
    </xf>
    <xf numFmtId="0" fontId="27" fillId="0" borderId="0" xfId="0" applyFont="1" applyAlignment="1" applyProtection="1">
      <alignment horizontal="center" vertical="center"/>
      <protection hidden="1"/>
    </xf>
    <xf numFmtId="0" fontId="27" fillId="0" borderId="14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1" fontId="51" fillId="13" borderId="15" xfId="0" applyNumberFormat="1" applyFont="1" applyFill="1" applyBorder="1" applyAlignment="1" applyProtection="1">
      <alignment horizontal="center" vertical="center"/>
      <protection hidden="1"/>
    </xf>
    <xf numFmtId="172" fontId="51" fillId="13" borderId="9" xfId="0" applyNumberFormat="1" applyFont="1" applyFill="1" applyBorder="1" applyAlignment="1" applyProtection="1">
      <alignment horizontal="center" vertical="center"/>
      <protection hidden="1"/>
    </xf>
    <xf numFmtId="173" fontId="51" fillId="13" borderId="9" xfId="0" applyNumberFormat="1" applyFont="1" applyFill="1" applyBorder="1" applyAlignment="1" applyProtection="1">
      <alignment horizontal="center" vertical="center"/>
      <protection hidden="1"/>
    </xf>
    <xf numFmtId="172" fontId="52" fillId="13" borderId="13" xfId="0" applyNumberFormat="1" applyFont="1" applyFill="1" applyBorder="1" applyAlignment="1" applyProtection="1">
      <alignment horizontal="center" vertical="center"/>
      <protection hidden="1"/>
    </xf>
    <xf numFmtId="174" fontId="53" fillId="14" borderId="7" xfId="0" applyNumberFormat="1" applyFont="1" applyFill="1" applyBorder="1" applyAlignment="1" applyProtection="1">
      <alignment horizontal="center" vertical="center"/>
      <protection hidden="1"/>
    </xf>
    <xf numFmtId="172" fontId="51" fillId="13" borderId="15" xfId="0" applyNumberFormat="1" applyFont="1" applyFill="1" applyBorder="1" applyAlignment="1" applyProtection="1">
      <alignment horizontal="center" vertical="center"/>
      <protection hidden="1"/>
    </xf>
    <xf numFmtId="175" fontId="53" fillId="14" borderId="7" xfId="0" applyNumberFormat="1" applyFont="1" applyFill="1" applyBorder="1" applyAlignment="1" applyProtection="1">
      <alignment horizontal="center" vertical="center"/>
      <protection hidden="1"/>
    </xf>
    <xf numFmtId="0" fontId="22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55" fillId="0" borderId="0" xfId="0" applyFont="1" applyAlignment="1" applyProtection="1">
      <alignment vertical="center"/>
      <protection hidden="1"/>
    </xf>
    <xf numFmtId="0" fontId="55" fillId="0" borderId="0" xfId="0" applyFont="1" applyAlignment="1" applyProtection="1">
      <alignment horizontal="center" vertical="center"/>
      <protection hidden="1"/>
    </xf>
    <xf numFmtId="0" fontId="0" fillId="17" borderId="0" xfId="0" applyFill="1" applyAlignment="1" applyProtection="1">
      <alignment vertical="center"/>
      <protection hidden="1"/>
    </xf>
    <xf numFmtId="0" fontId="55" fillId="0" borderId="0" xfId="6" applyFont="1" applyFill="1" applyBorder="1" applyAlignment="1" applyProtection="1">
      <alignment horizontal="center" vertical="center"/>
      <protection hidden="1"/>
    </xf>
    <xf numFmtId="164" fontId="43" fillId="8" borderId="0" xfId="0" applyNumberFormat="1" applyFont="1" applyFill="1" applyAlignment="1" applyProtection="1">
      <alignment vertical="center"/>
      <protection hidden="1"/>
    </xf>
    <xf numFmtId="0" fontId="0" fillId="18" borderId="0" xfId="0" applyFill="1" applyAlignment="1" applyProtection="1">
      <alignment vertical="center"/>
      <protection hidden="1"/>
    </xf>
    <xf numFmtId="0" fontId="55" fillId="0" borderId="0" xfId="0" applyFont="1" applyProtection="1">
      <protection hidden="1"/>
    </xf>
    <xf numFmtId="14" fontId="0" fillId="0" borderId="0" xfId="0" applyNumberFormat="1" applyProtection="1">
      <protection hidden="1"/>
    </xf>
    <xf numFmtId="14" fontId="0" fillId="0" borderId="0" xfId="0" applyNumberFormat="1" applyAlignment="1" applyProtection="1">
      <alignment horizontal="center" vertical="center"/>
      <protection hidden="1"/>
    </xf>
    <xf numFmtId="0" fontId="61" fillId="0" borderId="3" xfId="0" applyFont="1" applyBorder="1" applyAlignment="1" applyProtection="1">
      <alignment vertical="center"/>
      <protection hidden="1"/>
    </xf>
    <xf numFmtId="0" fontId="61" fillId="9" borderId="3" xfId="0" applyFont="1" applyFill="1" applyBorder="1" applyAlignment="1" applyProtection="1">
      <alignment vertical="center"/>
      <protection hidden="1"/>
    </xf>
    <xf numFmtId="0" fontId="35" fillId="9" borderId="0" xfId="0" applyFont="1" applyFill="1" applyAlignment="1" applyProtection="1">
      <alignment vertical="center"/>
      <protection hidden="1"/>
    </xf>
    <xf numFmtId="14" fontId="27" fillId="4" borderId="2" xfId="0" applyNumberFormat="1" applyFont="1" applyFill="1" applyBorder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27" fillId="0" borderId="18" xfId="0" applyFont="1" applyBorder="1" applyAlignment="1" applyProtection="1">
      <alignment horizontal="center" vertical="center"/>
      <protection locked="0"/>
    </xf>
    <xf numFmtId="0" fontId="27" fillId="0" borderId="19" xfId="0" applyFont="1" applyBorder="1" applyAlignment="1" applyProtection="1">
      <alignment horizontal="center" vertical="center"/>
      <protection locked="0"/>
    </xf>
    <xf numFmtId="0" fontId="27" fillId="0" borderId="17" xfId="0" applyFont="1" applyBorder="1" applyAlignment="1" applyProtection="1">
      <alignment horizontal="center" vertical="center"/>
      <protection locked="0"/>
    </xf>
    <xf numFmtId="0" fontId="44" fillId="0" borderId="0" xfId="0" applyFont="1" applyProtection="1">
      <protection locked="0"/>
    </xf>
    <xf numFmtId="0" fontId="57" fillId="0" borderId="0" xfId="0" applyFont="1" applyAlignment="1" applyProtection="1">
      <alignment horizontal="center"/>
      <protection locked="0"/>
    </xf>
    <xf numFmtId="0" fontId="27" fillId="0" borderId="0" xfId="0" applyFont="1" applyAlignment="1" applyProtection="1">
      <alignment horizontal="center" vertical="center" wrapText="1"/>
      <protection locked="0"/>
    </xf>
    <xf numFmtId="0" fontId="27" fillId="0" borderId="0" xfId="0" applyFont="1" applyAlignment="1" applyProtection="1">
      <alignment horizontal="center"/>
      <protection locked="0"/>
    </xf>
    <xf numFmtId="14" fontId="27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 wrapText="1"/>
      <protection locked="0"/>
    </xf>
    <xf numFmtId="49" fontId="0" fillId="0" borderId="0" xfId="0" applyNumberFormat="1" applyProtection="1">
      <protection locked="0"/>
    </xf>
    <xf numFmtId="0" fontId="27" fillId="0" borderId="0" xfId="0" applyFont="1" applyProtection="1">
      <protection locked="0"/>
    </xf>
    <xf numFmtId="14" fontId="0" fillId="0" borderId="0" xfId="0" applyNumberForma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25" fillId="0" borderId="0" xfId="0" applyFont="1" applyAlignment="1" applyProtection="1">
      <alignment vertical="center"/>
      <protection locked="0"/>
    </xf>
    <xf numFmtId="0" fontId="27" fillId="0" borderId="11" xfId="0" applyFont="1" applyBorder="1" applyAlignment="1">
      <alignment horizontal="center" vertical="center"/>
    </xf>
    <xf numFmtId="49" fontId="27" fillId="0" borderId="0" xfId="0" applyNumberFormat="1" applyFont="1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horizontal="center" vertical="center"/>
      <protection locked="0"/>
    </xf>
    <xf numFmtId="49" fontId="57" fillId="0" borderId="0" xfId="0" applyNumberFormat="1" applyFont="1" applyAlignment="1" applyProtection="1">
      <alignment horizontal="center" vertical="center"/>
      <protection locked="0"/>
    </xf>
    <xf numFmtId="49" fontId="0" fillId="0" borderId="0" xfId="0" applyNumberFormat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14" fontId="27" fillId="0" borderId="0" xfId="0" applyNumberFormat="1" applyFont="1" applyAlignment="1">
      <alignment horizontal="center" vertical="center"/>
    </xf>
    <xf numFmtId="14" fontId="27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27" fillId="0" borderId="8" xfId="0" applyFont="1" applyBorder="1" applyAlignment="1" applyProtection="1">
      <alignment horizontal="center" vertical="center"/>
      <protection locked="0"/>
    </xf>
    <xf numFmtId="14" fontId="27" fillId="4" borderId="16" xfId="0" applyNumberFormat="1" applyFont="1" applyFill="1" applyBorder="1" applyAlignment="1" applyProtection="1">
      <alignment horizontal="center" vertical="center" wrapText="1"/>
      <protection locked="0"/>
    </xf>
    <xf numFmtId="14" fontId="27" fillId="4" borderId="16" xfId="0" applyNumberFormat="1" applyFont="1" applyFill="1" applyBorder="1" applyAlignment="1" applyProtection="1">
      <alignment horizontal="center" vertical="center"/>
      <protection locked="0"/>
    </xf>
    <xf numFmtId="14" fontId="0" fillId="4" borderId="16" xfId="0" applyNumberFormat="1" applyFill="1" applyBorder="1" applyAlignment="1" applyProtection="1">
      <alignment horizontal="center" vertical="center"/>
      <protection locked="0"/>
    </xf>
    <xf numFmtId="14" fontId="27" fillId="15" borderId="2" xfId="0" applyNumberFormat="1" applyFont="1" applyFill="1" applyBorder="1" applyAlignment="1" applyProtection="1">
      <alignment horizontal="center" vertical="center"/>
      <protection locked="0"/>
    </xf>
    <xf numFmtId="0" fontId="27" fillId="0" borderId="0" xfId="0" applyFont="1"/>
    <xf numFmtId="14" fontId="0" fillId="0" borderId="0" xfId="0" applyNumberFormat="1" applyAlignment="1" applyProtection="1">
      <alignment horizontal="center" vertical="center"/>
      <protection locked="0"/>
    </xf>
    <xf numFmtId="0" fontId="55" fillId="9" borderId="0" xfId="0" applyFont="1" applyFill="1" applyAlignment="1" applyProtection="1">
      <alignment horizontal="center" vertical="center"/>
      <protection hidden="1"/>
    </xf>
    <xf numFmtId="0" fontId="55" fillId="9" borderId="0" xfId="0" applyFont="1" applyFill="1" applyAlignment="1" applyProtection="1">
      <alignment vertical="center"/>
      <protection hidden="1"/>
    </xf>
    <xf numFmtId="0" fontId="64" fillId="0" borderId="0" xfId="0" applyFont="1" applyAlignment="1" applyProtection="1">
      <alignment vertical="center"/>
      <protection hidden="1"/>
    </xf>
    <xf numFmtId="0" fontId="64" fillId="9" borderId="0" xfId="0" applyFont="1" applyFill="1" applyAlignment="1" applyProtection="1">
      <alignment vertical="center"/>
      <protection hidden="1"/>
    </xf>
    <xf numFmtId="165" fontId="55" fillId="0" borderId="0" xfId="0" applyNumberFormat="1" applyFont="1" applyAlignment="1" applyProtection="1">
      <alignment vertical="center"/>
      <protection hidden="1"/>
    </xf>
    <xf numFmtId="166" fontId="55" fillId="0" borderId="0" xfId="0" applyNumberFormat="1" applyFont="1" applyAlignment="1" applyProtection="1">
      <alignment horizontal="center" vertical="center"/>
      <protection hidden="1"/>
    </xf>
    <xf numFmtId="166" fontId="55" fillId="0" borderId="0" xfId="0" applyNumberFormat="1" applyFont="1" applyAlignment="1" applyProtection="1">
      <alignment vertical="center"/>
      <protection hidden="1"/>
    </xf>
    <xf numFmtId="14" fontId="55" fillId="0" borderId="0" xfId="0" applyNumberFormat="1" applyFont="1" applyProtection="1">
      <protection hidden="1"/>
    </xf>
    <xf numFmtId="0" fontId="69" fillId="9" borderId="3" xfId="0" applyFont="1" applyFill="1" applyBorder="1" applyAlignment="1" applyProtection="1">
      <alignment vertical="center"/>
      <protection hidden="1"/>
    </xf>
    <xf numFmtId="164" fontId="42" fillId="17" borderId="23" xfId="0" applyNumberFormat="1" applyFont="1" applyFill="1" applyBorder="1" applyAlignment="1" applyProtection="1">
      <alignment horizontal="right" vertical="center"/>
      <protection hidden="1"/>
    </xf>
    <xf numFmtId="164" fontId="42" fillId="17" borderId="24" xfId="0" applyNumberFormat="1" applyFont="1" applyFill="1" applyBorder="1" applyAlignment="1" applyProtection="1">
      <alignment horizontal="right" vertical="center"/>
      <protection hidden="1"/>
    </xf>
    <xf numFmtId="0" fontId="67" fillId="0" borderId="0" xfId="0" applyFont="1" applyAlignment="1" applyProtection="1">
      <alignment horizontal="center" vertical="center"/>
      <protection hidden="1"/>
    </xf>
    <xf numFmtId="49" fontId="27" fillId="4" borderId="20" xfId="0" applyNumberFormat="1" applyFont="1" applyFill="1" applyBorder="1" applyAlignment="1" applyProtection="1">
      <alignment horizontal="center" vertical="center"/>
      <protection locked="0"/>
    </xf>
    <xf numFmtId="0" fontId="45" fillId="0" borderId="0" xfId="0" applyFont="1" applyAlignment="1" applyProtection="1">
      <alignment horizontal="center" vertical="center"/>
      <protection hidden="1"/>
    </xf>
    <xf numFmtId="49" fontId="27" fillId="4" borderId="20" xfId="0" applyNumberFormat="1" applyFont="1" applyFill="1" applyBorder="1" applyAlignment="1" applyProtection="1">
      <alignment horizontal="center"/>
      <protection locked="0"/>
    </xf>
    <xf numFmtId="0" fontId="45" fillId="0" borderId="14" xfId="0" applyFont="1" applyBorder="1" applyAlignment="1" applyProtection="1">
      <alignment horizontal="center" vertical="center"/>
      <protection hidden="1"/>
    </xf>
    <xf numFmtId="49" fontId="27" fillId="0" borderId="0" xfId="0" applyNumberFormat="1" applyFont="1" applyAlignment="1" applyProtection="1">
      <alignment horizontal="left"/>
      <protection hidden="1"/>
    </xf>
    <xf numFmtId="170" fontId="27" fillId="0" borderId="20" xfId="0" applyNumberFormat="1" applyFont="1" applyBorder="1" applyAlignment="1" applyProtection="1">
      <alignment horizontal="center"/>
      <protection hidden="1"/>
    </xf>
    <xf numFmtId="49" fontId="27" fillId="4" borderId="5" xfId="0" applyNumberFormat="1" applyFont="1" applyFill="1" applyBorder="1" applyAlignment="1" applyProtection="1">
      <alignment horizontal="center" vertical="center"/>
      <protection locked="0"/>
    </xf>
    <xf numFmtId="0" fontId="50" fillId="0" borderId="0" xfId="0" applyFont="1" applyProtection="1">
      <protection hidden="1"/>
    </xf>
    <xf numFmtId="0" fontId="50" fillId="0" borderId="0" xfId="0" applyFont="1" applyAlignment="1" applyProtection="1">
      <alignment horizontal="center"/>
      <protection hidden="1"/>
    </xf>
    <xf numFmtId="0" fontId="73" fillId="0" borderId="0" xfId="0" applyFont="1" applyAlignment="1" applyProtection="1">
      <alignment horizontal="center" vertical="center"/>
      <protection hidden="1"/>
    </xf>
    <xf numFmtId="178" fontId="0" fillId="0" borderId="0" xfId="0" applyNumberFormat="1" applyAlignment="1" applyProtection="1">
      <alignment horizontal="left"/>
      <protection hidden="1"/>
    </xf>
    <xf numFmtId="0" fontId="74" fillId="0" borderId="0" xfId="0" applyFont="1" applyProtection="1">
      <protection hidden="1"/>
    </xf>
    <xf numFmtId="0" fontId="50" fillId="0" borderId="0" xfId="0" applyFont="1" applyAlignment="1" applyProtection="1">
      <alignment horizontal="right"/>
      <protection hidden="1"/>
    </xf>
    <xf numFmtId="179" fontId="50" fillId="0" borderId="0" xfId="0" applyNumberFormat="1" applyFont="1" applyAlignment="1" applyProtection="1">
      <alignment horizontal="left"/>
      <protection hidden="1"/>
    </xf>
    <xf numFmtId="0" fontId="77" fillId="0" borderId="0" xfId="0" applyFont="1" applyAlignment="1" applyProtection="1">
      <alignment vertical="center"/>
      <protection hidden="1"/>
    </xf>
    <xf numFmtId="0" fontId="78" fillId="0" borderId="0" xfId="0" applyFont="1" applyAlignment="1" applyProtection="1">
      <alignment vertical="center"/>
      <protection hidden="1"/>
    </xf>
    <xf numFmtId="0" fontId="78" fillId="0" borderId="0" xfId="0" applyFont="1" applyAlignment="1" applyProtection="1">
      <alignment horizontal="center" vertical="center"/>
      <protection hidden="1"/>
    </xf>
    <xf numFmtId="14" fontId="78" fillId="0" borderId="0" xfId="0" applyNumberFormat="1" applyFont="1" applyAlignment="1" applyProtection="1">
      <alignment horizontal="center" vertical="center"/>
      <protection hidden="1"/>
    </xf>
    <xf numFmtId="0" fontId="78" fillId="0" borderId="0" xfId="0" applyFont="1" applyProtection="1">
      <protection hidden="1"/>
    </xf>
    <xf numFmtId="0" fontId="79" fillId="0" borderId="0" xfId="25" applyFont="1" applyAlignment="1" applyProtection="1">
      <alignment horizontal="left" vertical="center"/>
      <protection hidden="1"/>
    </xf>
    <xf numFmtId="0" fontId="78" fillId="0" borderId="0" xfId="25" applyFont="1" applyAlignment="1" applyProtection="1">
      <alignment horizontal="right"/>
      <protection hidden="1"/>
    </xf>
    <xf numFmtId="0" fontId="81" fillId="0" borderId="0" xfId="25" applyFont="1" applyAlignment="1" applyProtection="1">
      <alignment horizontal="left" vertical="center"/>
      <protection hidden="1"/>
    </xf>
    <xf numFmtId="177" fontId="78" fillId="0" borderId="0" xfId="0" applyNumberFormat="1" applyFont="1" applyAlignment="1" applyProtection="1">
      <alignment horizontal="center"/>
      <protection hidden="1"/>
    </xf>
    <xf numFmtId="182" fontId="78" fillId="0" borderId="0" xfId="0" applyNumberFormat="1" applyFont="1" applyAlignment="1" applyProtection="1">
      <alignment horizontal="center" vertical="center"/>
      <protection hidden="1"/>
    </xf>
    <xf numFmtId="0" fontId="57" fillId="0" borderId="0" xfId="0" applyFont="1" applyProtection="1">
      <protection hidden="1"/>
    </xf>
    <xf numFmtId="0" fontId="83" fillId="0" borderId="0" xfId="0" applyFont="1" applyProtection="1">
      <protection hidden="1"/>
    </xf>
    <xf numFmtId="183" fontId="84" fillId="0" borderId="0" xfId="0" applyNumberFormat="1" applyFont="1" applyAlignment="1" applyProtection="1">
      <alignment horizontal="center"/>
      <protection hidden="1"/>
    </xf>
    <xf numFmtId="0" fontId="85" fillId="0" borderId="0" xfId="0" applyFont="1" applyProtection="1">
      <protection hidden="1"/>
    </xf>
    <xf numFmtId="1" fontId="67" fillId="0" borderId="0" xfId="0" applyNumberFormat="1" applyFont="1" applyAlignment="1" applyProtection="1">
      <alignment horizontal="center"/>
      <protection hidden="1"/>
    </xf>
    <xf numFmtId="0" fontId="78" fillId="0" borderId="0" xfId="0" applyFont="1" applyAlignment="1" applyProtection="1">
      <alignment horizontal="center"/>
      <protection hidden="1"/>
    </xf>
    <xf numFmtId="0" fontId="47" fillId="0" borderId="0" xfId="0" applyFont="1" applyProtection="1">
      <protection hidden="1"/>
    </xf>
    <xf numFmtId="0" fontId="50" fillId="0" borderId="39" xfId="0" applyFont="1" applyBorder="1" applyProtection="1">
      <protection hidden="1"/>
    </xf>
    <xf numFmtId="0" fontId="78" fillId="0" borderId="39" xfId="0" applyFont="1" applyBorder="1" applyAlignment="1" applyProtection="1">
      <alignment horizontal="center"/>
      <protection hidden="1"/>
    </xf>
    <xf numFmtId="0" fontId="78" fillId="0" borderId="39" xfId="0" applyFont="1" applyBorder="1" applyProtection="1">
      <protection hidden="1"/>
    </xf>
    <xf numFmtId="0" fontId="78" fillId="0" borderId="39" xfId="0" applyFont="1" applyBorder="1" applyAlignment="1" applyProtection="1">
      <alignment horizontal="right"/>
      <protection hidden="1"/>
    </xf>
    <xf numFmtId="184" fontId="72" fillId="0" borderId="0" xfId="0" applyNumberFormat="1" applyFont="1" applyAlignment="1" applyProtection="1">
      <alignment horizontal="center"/>
      <protection hidden="1"/>
    </xf>
    <xf numFmtId="183" fontId="50" fillId="0" borderId="40" xfId="0" applyNumberFormat="1" applyFont="1" applyBorder="1" applyAlignment="1" applyProtection="1">
      <alignment horizontal="center" vertical="center"/>
      <protection hidden="1"/>
    </xf>
    <xf numFmtId="183" fontId="67" fillId="26" borderId="41" xfId="0" applyNumberFormat="1" applyFont="1" applyFill="1" applyBorder="1" applyAlignment="1" applyProtection="1">
      <alignment horizontal="center" vertical="center"/>
      <protection hidden="1"/>
    </xf>
    <xf numFmtId="183" fontId="78" fillId="0" borderId="0" xfId="0" applyNumberFormat="1" applyFont="1" applyAlignment="1" applyProtection="1">
      <alignment horizontal="right"/>
      <protection hidden="1"/>
    </xf>
    <xf numFmtId="0" fontId="75" fillId="18" borderId="42" xfId="0" applyFont="1" applyFill="1" applyBorder="1" applyAlignment="1" applyProtection="1">
      <alignment horizontal="center" vertical="center"/>
      <protection hidden="1"/>
    </xf>
    <xf numFmtId="0" fontId="75" fillId="18" borderId="43" xfId="0" applyFont="1" applyFill="1" applyBorder="1" applyAlignment="1" applyProtection="1">
      <alignment horizontal="center" vertical="center"/>
      <protection hidden="1"/>
    </xf>
    <xf numFmtId="164" fontId="87" fillId="8" borderId="0" xfId="0" applyNumberFormat="1" applyFont="1" applyFill="1" applyAlignment="1" applyProtection="1">
      <alignment vertical="center"/>
      <protection hidden="1"/>
    </xf>
    <xf numFmtId="0" fontId="86" fillId="8" borderId="30" xfId="0" applyFont="1" applyFill="1" applyBorder="1" applyAlignment="1" applyProtection="1">
      <alignment vertical="center"/>
      <protection hidden="1"/>
    </xf>
    <xf numFmtId="164" fontId="89" fillId="8" borderId="0" xfId="0" applyNumberFormat="1" applyFont="1" applyFill="1" applyAlignment="1" applyProtection="1">
      <alignment vertical="center"/>
      <protection hidden="1"/>
    </xf>
    <xf numFmtId="181" fontId="78" fillId="0" borderId="32" xfId="26" applyNumberFormat="1" applyFont="1" applyBorder="1" applyAlignment="1" applyProtection="1">
      <alignment horizontal="center" vertical="center"/>
      <protection hidden="1"/>
    </xf>
    <xf numFmtId="164" fontId="90" fillId="8" borderId="0" xfId="0" applyNumberFormat="1" applyFont="1" applyFill="1" applyAlignment="1" applyProtection="1">
      <alignment horizontal="center" vertical="center"/>
      <protection hidden="1"/>
    </xf>
    <xf numFmtId="0" fontId="69" fillId="0" borderId="3" xfId="0" applyFont="1" applyBorder="1" applyAlignment="1" applyProtection="1">
      <alignment vertical="center"/>
      <protection hidden="1"/>
    </xf>
    <xf numFmtId="0" fontId="55" fillId="17" borderId="0" xfId="0" applyFont="1" applyFill="1" applyAlignment="1" applyProtection="1">
      <alignment vertical="center"/>
      <protection hidden="1"/>
    </xf>
    <xf numFmtId="0" fontId="96" fillId="0" borderId="0" xfId="0" applyFont="1" applyAlignment="1" applyProtection="1">
      <alignment horizontal="right" vertical="center"/>
      <protection hidden="1"/>
    </xf>
    <xf numFmtId="0" fontId="96" fillId="0" borderId="0" xfId="0" applyFont="1" applyProtection="1">
      <protection hidden="1"/>
    </xf>
    <xf numFmtId="0" fontId="77" fillId="0" borderId="0" xfId="0" applyFont="1" applyAlignment="1" applyProtection="1">
      <alignment horizontal="right" vertical="center" wrapText="1"/>
      <protection hidden="1"/>
    </xf>
    <xf numFmtId="14" fontId="27" fillId="15" borderId="47" xfId="0" applyNumberFormat="1" applyFont="1" applyFill="1" applyBorder="1" applyAlignment="1" applyProtection="1">
      <alignment horizontal="center" vertical="center" wrapText="1"/>
      <protection locked="0"/>
    </xf>
    <xf numFmtId="14" fontId="27" fillId="15" borderId="47" xfId="0" applyNumberFormat="1" applyFont="1" applyFill="1" applyBorder="1" applyAlignment="1" applyProtection="1">
      <alignment horizontal="center" vertical="center"/>
      <protection locked="0"/>
    </xf>
    <xf numFmtId="14" fontId="27" fillId="4" borderId="47" xfId="0" applyNumberFormat="1" applyFont="1" applyFill="1" applyBorder="1" applyAlignment="1" applyProtection="1">
      <alignment horizontal="center" vertical="center"/>
      <protection locked="0"/>
    </xf>
    <xf numFmtId="14" fontId="27" fillId="4" borderId="50" xfId="0" applyNumberFormat="1" applyFont="1" applyFill="1" applyBorder="1" applyAlignment="1" applyProtection="1">
      <alignment horizontal="center" vertical="center"/>
      <protection locked="0"/>
    </xf>
    <xf numFmtId="14" fontId="27" fillId="4" borderId="47" xfId="0" applyNumberFormat="1" applyFont="1" applyFill="1" applyBorder="1" applyAlignment="1" applyProtection="1">
      <alignment horizontal="center" vertical="center" wrapText="1"/>
      <protection locked="0"/>
    </xf>
    <xf numFmtId="0" fontId="91" fillId="0" borderId="0" xfId="0" applyFont="1" applyAlignment="1" applyProtection="1">
      <alignment horizontal="left" vertical="center" wrapText="1"/>
      <protection hidden="1"/>
    </xf>
    <xf numFmtId="0" fontId="93" fillId="0" borderId="0" xfId="0" applyFont="1" applyAlignment="1" applyProtection="1">
      <alignment horizontal="left" vertical="center" wrapText="1"/>
      <protection hidden="1"/>
    </xf>
    <xf numFmtId="0" fontId="27" fillId="0" borderId="0" xfId="0" applyFont="1" applyAlignment="1" applyProtection="1">
      <alignment horizontal="right" vertical="center" wrapText="1"/>
      <protection hidden="1"/>
    </xf>
    <xf numFmtId="0" fontId="27" fillId="0" borderId="0" xfId="0" applyFont="1" applyAlignment="1" applyProtection="1">
      <alignment vertical="center" wrapText="1"/>
      <protection hidden="1"/>
    </xf>
    <xf numFmtId="0" fontId="95" fillId="0" borderId="0" xfId="0" applyFont="1" applyAlignment="1" applyProtection="1">
      <alignment horizontal="left" vertical="center" wrapText="1"/>
      <protection hidden="1"/>
    </xf>
    <xf numFmtId="0" fontId="77" fillId="0" borderId="0" xfId="0" applyFont="1" applyAlignment="1" applyProtection="1">
      <alignment vertical="center" wrapText="1"/>
      <protection hidden="1"/>
    </xf>
    <xf numFmtId="170" fontId="27" fillId="20" borderId="5" xfId="0" applyNumberFormat="1" applyFont="1" applyFill="1" applyBorder="1" applyAlignment="1" applyProtection="1">
      <alignment horizontal="center" vertical="center" wrapText="1"/>
      <protection locked="0"/>
    </xf>
    <xf numFmtId="49" fontId="27" fillId="28" borderId="51" xfId="0" applyNumberFormat="1" applyFont="1" applyFill="1" applyBorder="1" applyAlignment="1" applyProtection="1">
      <alignment horizontal="center" vertical="center"/>
      <protection locked="0"/>
    </xf>
    <xf numFmtId="49" fontId="27" fillId="4" borderId="51" xfId="0" applyNumberFormat="1" applyFont="1" applyFill="1" applyBorder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vertical="center"/>
      <protection hidden="1"/>
    </xf>
    <xf numFmtId="0" fontId="37" fillId="0" borderId="0" xfId="1" applyFont="1" applyFill="1" applyBorder="1" applyAlignment="1" applyProtection="1">
      <alignment vertical="center"/>
      <protection hidden="1"/>
    </xf>
    <xf numFmtId="0" fontId="0" fillId="0" borderId="0" xfId="6" applyFont="1" applyFill="1" applyBorder="1" applyAlignment="1" applyProtection="1">
      <alignment vertical="center"/>
      <protection hidden="1"/>
    </xf>
    <xf numFmtId="164" fontId="13" fillId="0" borderId="0" xfId="0" applyNumberFormat="1" applyFont="1" applyAlignment="1" applyProtection="1">
      <alignment vertical="center"/>
      <protection hidden="1"/>
    </xf>
    <xf numFmtId="20" fontId="13" fillId="0" borderId="0" xfId="0" applyNumberFormat="1" applyFont="1" applyAlignment="1" applyProtection="1">
      <alignment horizontal="center" vertical="center"/>
      <protection hidden="1"/>
    </xf>
    <xf numFmtId="0" fontId="40" fillId="0" borderId="0" xfId="0" applyFont="1" applyAlignment="1" applyProtection="1">
      <alignment vertical="center"/>
      <protection hidden="1"/>
    </xf>
    <xf numFmtId="167" fontId="33" fillId="0" borderId="0" xfId="0" applyNumberFormat="1" applyFont="1" applyAlignment="1" applyProtection="1">
      <alignment horizontal="left" vertical="center"/>
      <protection hidden="1"/>
    </xf>
    <xf numFmtId="20" fontId="1" fillId="0" borderId="0" xfId="0" applyNumberFormat="1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14" fillId="0" borderId="0" xfId="0" applyFont="1" applyAlignment="1" applyProtection="1">
      <alignment vertic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34" fillId="0" borderId="0" xfId="0" applyFont="1" applyAlignment="1" applyProtection="1">
      <alignment horizontal="left" vertical="center"/>
      <protection hidden="1"/>
    </xf>
    <xf numFmtId="0" fontId="33" fillId="0" borderId="0" xfId="0" applyFont="1" applyAlignment="1" applyProtection="1">
      <alignment horizontal="left" vertical="center"/>
      <protection hidden="1"/>
    </xf>
    <xf numFmtId="168" fontId="38" fillId="0" borderId="0" xfId="0" applyNumberFormat="1" applyFont="1" applyAlignment="1" applyProtection="1">
      <alignment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center" vertical="center"/>
      <protection hidden="1"/>
    </xf>
    <xf numFmtId="0" fontId="40" fillId="0" borderId="0" xfId="3" applyFont="1" applyAlignment="1" applyProtection="1">
      <alignment vertical="center"/>
      <protection hidden="1"/>
    </xf>
    <xf numFmtId="0" fontId="13" fillId="0" borderId="0" xfId="0" applyFont="1" applyAlignment="1" applyProtection="1">
      <alignment vertical="center"/>
      <protection hidden="1"/>
    </xf>
    <xf numFmtId="20" fontId="13" fillId="0" borderId="0" xfId="2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vertical="center"/>
      <protection hidden="1"/>
    </xf>
    <xf numFmtId="0" fontId="35" fillId="0" borderId="0" xfId="0" applyFont="1" applyAlignment="1" applyProtection="1">
      <alignment vertical="center"/>
      <protection hidden="1"/>
    </xf>
    <xf numFmtId="0" fontId="39" fillId="0" borderId="0" xfId="2" applyNumberFormat="1" applyFont="1" applyAlignment="1" applyProtection="1">
      <alignment horizontal="center" vertical="center"/>
      <protection hidden="1"/>
    </xf>
    <xf numFmtId="0" fontId="41" fillId="0" borderId="0" xfId="2" applyNumberFormat="1" applyFont="1" applyAlignment="1" applyProtection="1">
      <alignment horizontal="center" vertical="center"/>
      <protection hidden="1"/>
    </xf>
    <xf numFmtId="20" fontId="39" fillId="0" borderId="0" xfId="2" applyFont="1" applyAlignment="1" applyProtection="1">
      <alignment horizontal="center" vertical="center"/>
      <protection hidden="1"/>
    </xf>
    <xf numFmtId="20" fontId="59" fillId="0" borderId="0" xfId="2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62" fillId="0" borderId="0" xfId="3" applyFont="1" applyAlignment="1" applyProtection="1">
      <alignment vertical="center"/>
      <protection hidden="1"/>
    </xf>
    <xf numFmtId="0" fontId="63" fillId="0" borderId="0" xfId="0" applyFont="1" applyAlignment="1" applyProtection="1">
      <alignment vertical="center"/>
      <protection hidden="1"/>
    </xf>
    <xf numFmtId="20" fontId="63" fillId="0" borderId="0" xfId="2" applyFont="1" applyAlignment="1" applyProtection="1">
      <alignment horizontal="center" vertical="center"/>
      <protection hidden="1"/>
    </xf>
    <xf numFmtId="20" fontId="63" fillId="0" borderId="0" xfId="0" applyNumberFormat="1" applyFont="1" applyAlignment="1" applyProtection="1">
      <alignment horizontal="center" vertical="center"/>
      <protection hidden="1"/>
    </xf>
    <xf numFmtId="0" fontId="58" fillId="0" borderId="0" xfId="0" applyFont="1" applyAlignment="1" applyProtection="1">
      <alignment horizontal="center" vertical="center"/>
      <protection hidden="1"/>
    </xf>
    <xf numFmtId="169" fontId="55" fillId="0" borderId="0" xfId="0" applyNumberFormat="1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 wrapText="1"/>
      <protection hidden="1"/>
    </xf>
    <xf numFmtId="169" fontId="47" fillId="0" borderId="0" xfId="0" applyNumberFormat="1" applyFont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169" fontId="0" fillId="0" borderId="0" xfId="0" applyNumberFormat="1" applyAlignment="1" applyProtection="1">
      <alignment horizontal="center" vertical="center"/>
      <protection hidden="1"/>
    </xf>
    <xf numFmtId="49" fontId="71" fillId="0" borderId="0" xfId="0" applyNumberFormat="1" applyFont="1" applyAlignment="1" applyProtection="1">
      <alignment horizontal="center" vertical="center"/>
      <protection hidden="1"/>
    </xf>
    <xf numFmtId="171" fontId="48" fillId="0" borderId="0" xfId="0" applyNumberFormat="1" applyFont="1" applyAlignment="1" applyProtection="1">
      <alignment horizontal="center" vertical="center"/>
      <protection hidden="1"/>
    </xf>
    <xf numFmtId="49" fontId="0" fillId="0" borderId="0" xfId="0" applyNumberFormat="1" applyAlignment="1" applyProtection="1">
      <alignment horizontal="center" vertical="center"/>
      <protection hidden="1"/>
    </xf>
    <xf numFmtId="0" fontId="25" fillId="9" borderId="44" xfId="0" applyFont="1" applyFill="1" applyBorder="1" applyAlignment="1" applyProtection="1">
      <alignment vertical="center"/>
      <protection hidden="1"/>
    </xf>
    <xf numFmtId="0" fontId="25" fillId="9" borderId="54" xfId="0" applyFont="1" applyFill="1" applyBorder="1" applyAlignment="1" applyProtection="1">
      <alignment vertical="center"/>
      <protection hidden="1"/>
    </xf>
    <xf numFmtId="0" fontId="55" fillId="7" borderId="0" xfId="0" applyFont="1" applyFill="1" applyAlignment="1" applyProtection="1">
      <alignment vertical="center"/>
      <protection hidden="1"/>
    </xf>
    <xf numFmtId="170" fontId="27" fillId="0" borderId="57" xfId="0" applyNumberFormat="1" applyFont="1" applyBorder="1" applyAlignment="1" applyProtection="1">
      <alignment horizontal="center"/>
      <protection hidden="1"/>
    </xf>
    <xf numFmtId="170" fontId="27" fillId="0" borderId="5" xfId="0" applyNumberFormat="1" applyFont="1" applyBorder="1" applyAlignment="1" applyProtection="1">
      <alignment horizontal="center"/>
      <protection hidden="1"/>
    </xf>
    <xf numFmtId="170" fontId="27" fillId="0" borderId="56" xfId="0" applyNumberFormat="1" applyFont="1" applyBorder="1" applyAlignment="1" applyProtection="1">
      <alignment horizontal="center"/>
      <protection hidden="1"/>
    </xf>
    <xf numFmtId="0" fontId="0" fillId="0" borderId="0" xfId="0" applyAlignment="1" applyProtection="1">
      <alignment horizontal="right"/>
      <protection hidden="1"/>
    </xf>
    <xf numFmtId="0" fontId="25" fillId="9" borderId="60" xfId="0" applyFont="1" applyFill="1" applyBorder="1" applyAlignment="1" applyProtection="1">
      <alignment vertical="center"/>
      <protection hidden="1"/>
    </xf>
    <xf numFmtId="0" fontId="25" fillId="9" borderId="61" xfId="0" applyFont="1" applyFill="1" applyBorder="1" applyAlignment="1" applyProtection="1">
      <alignment vertical="center"/>
      <protection hidden="1"/>
    </xf>
    <xf numFmtId="0" fontId="94" fillId="0" borderId="0" xfId="0" applyFont="1" applyAlignment="1" applyProtection="1">
      <alignment horizontal="left" vertical="center" wrapText="1"/>
      <protection hidden="1"/>
    </xf>
    <xf numFmtId="0" fontId="103" fillId="19" borderId="0" xfId="0" applyFont="1" applyFill="1" applyProtection="1">
      <protection hidden="1"/>
    </xf>
    <xf numFmtId="0" fontId="103" fillId="0" borderId="0" xfId="0" applyFont="1" applyAlignment="1" applyProtection="1">
      <alignment horizontal="center"/>
      <protection hidden="1"/>
    </xf>
    <xf numFmtId="0" fontId="103" fillId="0" borderId="0" xfId="0" applyFont="1" applyProtection="1">
      <protection hidden="1"/>
    </xf>
    <xf numFmtId="1" fontId="103" fillId="19" borderId="0" xfId="0" applyNumberFormat="1" applyFont="1" applyFill="1" applyProtection="1">
      <protection hidden="1"/>
    </xf>
    <xf numFmtId="185" fontId="102" fillId="0" borderId="0" xfId="28" applyFont="1" applyFill="1" applyBorder="1" applyAlignment="1" applyProtection="1">
      <alignment horizontal="center" vertical="center"/>
      <protection hidden="1"/>
    </xf>
    <xf numFmtId="0" fontId="107" fillId="0" borderId="0" xfId="0" applyFont="1" applyProtection="1">
      <protection hidden="1"/>
    </xf>
    <xf numFmtId="185" fontId="107" fillId="0" borderId="0" xfId="0" applyNumberFormat="1" applyFont="1" applyProtection="1">
      <protection hidden="1"/>
    </xf>
    <xf numFmtId="185" fontId="0" fillId="0" borderId="0" xfId="0" applyNumberFormat="1" applyProtection="1">
      <protection hidden="1"/>
    </xf>
    <xf numFmtId="185" fontId="103" fillId="34" borderId="64" xfId="27" applyFont="1" applyFill="1" applyBorder="1" applyProtection="1">
      <alignment horizontal="center"/>
      <protection hidden="1"/>
    </xf>
    <xf numFmtId="185" fontId="103" fillId="36" borderId="64" xfId="28" applyFont="1" applyFill="1" applyBorder="1" applyProtection="1">
      <alignment horizontal="center"/>
      <protection hidden="1"/>
    </xf>
    <xf numFmtId="185" fontId="103" fillId="19" borderId="64" xfId="27" applyFont="1" applyFill="1" applyBorder="1" applyProtection="1">
      <alignment horizontal="center"/>
      <protection hidden="1"/>
    </xf>
    <xf numFmtId="185" fontId="103" fillId="19" borderId="64" xfId="28" applyFont="1" applyFill="1" applyBorder="1" applyProtection="1">
      <alignment horizontal="center"/>
      <protection hidden="1"/>
    </xf>
    <xf numFmtId="0" fontId="103" fillId="19" borderId="66" xfId="0" applyFont="1" applyFill="1" applyBorder="1" applyProtection="1">
      <protection hidden="1"/>
    </xf>
    <xf numFmtId="185" fontId="103" fillId="0" borderId="0" xfId="28" applyFont="1" applyFill="1" applyBorder="1" applyAlignment="1" applyProtection="1">
      <alignment horizontal="center" vertical="center"/>
      <protection hidden="1"/>
    </xf>
    <xf numFmtId="0" fontId="107" fillId="19" borderId="0" xfId="0" applyFont="1" applyFill="1" applyProtection="1">
      <protection hidden="1"/>
    </xf>
    <xf numFmtId="185" fontId="107" fillId="19" borderId="0" xfId="0" applyNumberFormat="1" applyFont="1" applyFill="1" applyProtection="1">
      <protection hidden="1"/>
    </xf>
    <xf numFmtId="185" fontId="0" fillId="19" borderId="0" xfId="0" applyNumberFormat="1" applyFill="1" applyProtection="1">
      <protection hidden="1"/>
    </xf>
    <xf numFmtId="186" fontId="108" fillId="37" borderId="67" xfId="0" applyNumberFormat="1" applyFont="1" applyFill="1" applyBorder="1" applyAlignment="1" applyProtection="1">
      <alignment horizontal="center" vertical="center"/>
      <protection hidden="1"/>
    </xf>
    <xf numFmtId="1" fontId="109" fillId="37" borderId="64" xfId="0" applyNumberFormat="1" applyFont="1" applyFill="1" applyBorder="1" applyAlignment="1" applyProtection="1">
      <alignment horizontal="center"/>
      <protection hidden="1"/>
    </xf>
    <xf numFmtId="1" fontId="109" fillId="37" borderId="27" xfId="0" applyNumberFormat="1" applyFont="1" applyFill="1" applyBorder="1" applyAlignment="1" applyProtection="1">
      <alignment horizontal="center"/>
      <protection hidden="1"/>
    </xf>
    <xf numFmtId="0" fontId="103" fillId="19" borderId="0" xfId="0" applyFont="1" applyFill="1" applyAlignment="1" applyProtection="1">
      <alignment horizontal="center" vertical="center"/>
      <protection hidden="1"/>
    </xf>
    <xf numFmtId="0" fontId="27" fillId="41" borderId="68" xfId="0" applyFont="1" applyFill="1" applyBorder="1" applyAlignment="1" applyProtection="1">
      <alignment horizontal="center" vertical="center"/>
      <protection hidden="1"/>
    </xf>
    <xf numFmtId="0" fontId="67" fillId="26" borderId="68" xfId="0" applyFont="1" applyFill="1" applyBorder="1" applyAlignment="1" applyProtection="1">
      <alignment horizontal="center" vertical="center"/>
      <protection hidden="1"/>
    </xf>
    <xf numFmtId="0" fontId="103" fillId="0" borderId="0" xfId="0" applyFont="1" applyAlignment="1" applyProtection="1">
      <alignment horizontal="center" vertical="center"/>
      <protection hidden="1"/>
    </xf>
    <xf numFmtId="169" fontId="103" fillId="0" borderId="0" xfId="0" applyNumberFormat="1" applyFont="1" applyProtection="1">
      <protection hidden="1"/>
    </xf>
    <xf numFmtId="0" fontId="103" fillId="37" borderId="0" xfId="0" applyFont="1" applyFill="1" applyAlignment="1" applyProtection="1">
      <alignment horizontal="center"/>
      <protection hidden="1"/>
    </xf>
    <xf numFmtId="0" fontId="103" fillId="0" borderId="0" xfId="0" applyFont="1" applyAlignment="1" applyProtection="1">
      <alignment vertical="center"/>
      <protection hidden="1"/>
    </xf>
    <xf numFmtId="0" fontId="110" fillId="0" borderId="0" xfId="0" applyFont="1" applyAlignment="1" applyProtection="1">
      <alignment horizontal="center" vertical="center"/>
      <protection hidden="1"/>
    </xf>
    <xf numFmtId="0" fontId="102" fillId="0" borderId="0" xfId="0" applyFont="1" applyAlignment="1" applyProtection="1">
      <alignment horizontal="center" vertical="center"/>
      <protection hidden="1"/>
    </xf>
    <xf numFmtId="169" fontId="27" fillId="0" borderId="0" xfId="0" applyNumberFormat="1" applyFont="1" applyAlignment="1" applyProtection="1">
      <alignment horizontal="center" vertical="center"/>
      <protection hidden="1"/>
    </xf>
    <xf numFmtId="0" fontId="67" fillId="0" borderId="0" xfId="0" applyFont="1" applyAlignment="1" applyProtection="1">
      <alignment horizontal="left" vertical="center"/>
      <protection hidden="1"/>
    </xf>
    <xf numFmtId="0" fontId="103" fillId="19" borderId="0" xfId="0" applyFont="1" applyFill="1" applyAlignment="1" applyProtection="1">
      <alignment vertical="center"/>
      <protection hidden="1"/>
    </xf>
    <xf numFmtId="0" fontId="50" fillId="0" borderId="0" xfId="0" applyFont="1" applyAlignment="1" applyProtection="1">
      <alignment horizontal="center" vertical="center"/>
      <protection hidden="1"/>
    </xf>
    <xf numFmtId="0" fontId="74" fillId="0" borderId="0" xfId="0" applyFont="1" applyAlignment="1" applyProtection="1">
      <alignment horizontal="center" vertical="center"/>
      <protection hidden="1"/>
    </xf>
    <xf numFmtId="0" fontId="49" fillId="0" borderId="7" xfId="0" applyFont="1" applyBorder="1" applyAlignment="1" applyProtection="1">
      <alignment horizontal="center" vertical="center"/>
      <protection hidden="1"/>
    </xf>
    <xf numFmtId="0" fontId="77" fillId="42" borderId="0" xfId="0" applyFont="1" applyFill="1" applyAlignment="1" applyProtection="1">
      <alignment vertical="center" wrapText="1"/>
      <protection hidden="1"/>
    </xf>
    <xf numFmtId="0" fontId="91" fillId="26" borderId="0" xfId="0" applyFont="1" applyFill="1" applyAlignment="1" applyProtection="1">
      <alignment horizontal="left" vertical="center" wrapText="1"/>
      <protection hidden="1"/>
    </xf>
    <xf numFmtId="0" fontId="107" fillId="0" borderId="0" xfId="0" applyFont="1" applyAlignment="1" applyProtection="1">
      <alignment horizontal="center" vertical="center"/>
      <protection hidden="1"/>
    </xf>
    <xf numFmtId="185" fontId="106" fillId="34" borderId="64" xfId="27" applyFont="1" applyFill="1" applyBorder="1" applyAlignment="1" applyProtection="1">
      <protection hidden="1"/>
    </xf>
    <xf numFmtId="185" fontId="106" fillId="0" borderId="64" xfId="27" applyFont="1" applyFill="1" applyBorder="1" applyProtection="1">
      <alignment horizontal="center"/>
      <protection hidden="1"/>
    </xf>
    <xf numFmtId="185" fontId="106" fillId="0" borderId="64" xfId="28" applyFont="1" applyFill="1" applyBorder="1" applyProtection="1">
      <alignment horizontal="center"/>
      <protection hidden="1"/>
    </xf>
    <xf numFmtId="0" fontId="103" fillId="0" borderId="66" xfId="0" applyFont="1" applyBorder="1" applyProtection="1">
      <protection hidden="1"/>
    </xf>
    <xf numFmtId="0" fontId="78" fillId="28" borderId="32" xfId="26" applyFont="1" applyFill="1" applyBorder="1" applyAlignment="1" applyProtection="1">
      <alignment horizontal="center" vertical="center"/>
      <protection locked="0"/>
    </xf>
    <xf numFmtId="0" fontId="50" fillId="0" borderId="32" xfId="26" applyFont="1" applyBorder="1" applyAlignment="1" applyProtection="1">
      <alignment horizontal="center" vertical="center"/>
      <protection hidden="1"/>
    </xf>
    <xf numFmtId="183" fontId="82" fillId="0" borderId="0" xfId="0" applyNumberFormat="1" applyFont="1" applyAlignment="1" applyProtection="1">
      <alignment horizontal="center" vertical="center"/>
      <protection hidden="1"/>
    </xf>
    <xf numFmtId="0" fontId="85" fillId="0" borderId="0" xfId="0" applyFont="1" applyAlignment="1" applyProtection="1">
      <alignment horizontal="center"/>
      <protection hidden="1"/>
    </xf>
    <xf numFmtId="170" fontId="119" fillId="22" borderId="0" xfId="0" applyNumberFormat="1" applyFont="1" applyFill="1"/>
    <xf numFmtId="0" fontId="101" fillId="0" borderId="79" xfId="0" applyFont="1" applyBorder="1" applyAlignment="1">
      <alignment horizontal="center" vertical="center"/>
    </xf>
    <xf numFmtId="0" fontId="101" fillId="0" borderId="80" xfId="0" applyFont="1" applyBorder="1" applyAlignment="1">
      <alignment horizontal="center" vertical="center"/>
    </xf>
    <xf numFmtId="0" fontId="101" fillId="0" borderId="81" xfId="0" applyFont="1" applyBorder="1" applyAlignment="1">
      <alignment horizontal="center" vertical="center"/>
    </xf>
    <xf numFmtId="0" fontId="101" fillId="0" borderId="82" xfId="0" applyFont="1" applyBorder="1" applyAlignment="1">
      <alignment horizontal="center" vertical="center"/>
    </xf>
    <xf numFmtId="49" fontId="27" fillId="4" borderId="5" xfId="0" applyNumberFormat="1" applyFont="1" applyFill="1" applyBorder="1" applyAlignment="1" applyProtection="1">
      <alignment horizontal="center"/>
      <protection locked="0"/>
    </xf>
    <xf numFmtId="49" fontId="27" fillId="4" borderId="87" xfId="0" applyNumberFormat="1" applyFont="1" applyFill="1" applyBorder="1" applyAlignment="1" applyProtection="1">
      <alignment horizontal="center"/>
      <protection locked="0"/>
    </xf>
    <xf numFmtId="0" fontId="0" fillId="0" borderId="90" xfId="0" applyBorder="1" applyProtection="1">
      <protection hidden="1"/>
    </xf>
    <xf numFmtId="49" fontId="0" fillId="0" borderId="90" xfId="0" applyNumberFormat="1" applyBorder="1" applyProtection="1">
      <protection hidden="1"/>
    </xf>
    <xf numFmtId="170" fontId="27" fillId="37" borderId="0" xfId="0" applyNumberFormat="1" applyFont="1" applyFill="1" applyAlignment="1" applyProtection="1">
      <alignment horizontal="center" vertical="center" wrapText="1"/>
      <protection locked="0"/>
    </xf>
    <xf numFmtId="0" fontId="27" fillId="37" borderId="0" xfId="0" applyFont="1" applyFill="1" applyAlignment="1" applyProtection="1">
      <alignment horizontal="center" vertical="center" wrapText="1"/>
      <protection locked="0"/>
    </xf>
    <xf numFmtId="49" fontId="27" fillId="4" borderId="85" xfId="0" applyNumberFormat="1" applyFont="1" applyFill="1" applyBorder="1" applyAlignment="1" applyProtection="1">
      <alignment horizontal="center"/>
      <protection locked="0"/>
    </xf>
    <xf numFmtId="49" fontId="27" fillId="4" borderId="86" xfId="0" applyNumberFormat="1" applyFont="1" applyFill="1" applyBorder="1" applyAlignment="1" applyProtection="1">
      <alignment horizontal="center"/>
      <protection locked="0"/>
    </xf>
    <xf numFmtId="0" fontId="87" fillId="8" borderId="0" xfId="0" applyFont="1" applyFill="1" applyAlignment="1" applyProtection="1">
      <alignment horizontal="center" vertical="center"/>
      <protection hidden="1"/>
    </xf>
    <xf numFmtId="0" fontId="44" fillId="0" borderId="0" xfId="0" applyFont="1" applyAlignment="1" applyProtection="1">
      <alignment horizontal="left" vertical="center"/>
      <protection hidden="1"/>
    </xf>
    <xf numFmtId="0" fontId="67" fillId="0" borderId="0" xfId="0" applyFont="1" applyAlignment="1" applyProtection="1">
      <alignment horizontal="left"/>
      <protection hidden="1"/>
    </xf>
    <xf numFmtId="0" fontId="67" fillId="0" borderId="0" xfId="0" applyFont="1" applyAlignment="1" applyProtection="1">
      <alignment horizontal="center"/>
      <protection hidden="1"/>
    </xf>
    <xf numFmtId="0" fontId="121" fillId="8" borderId="0" xfId="0" applyFont="1" applyFill="1" applyAlignment="1" applyProtection="1">
      <alignment horizontal="center" vertical="center"/>
      <protection hidden="1"/>
    </xf>
    <xf numFmtId="185" fontId="105" fillId="0" borderId="0" xfId="27" applyFont="1" applyFill="1" applyBorder="1" applyAlignment="1" applyProtection="1">
      <alignment horizontal="center" vertical="center"/>
      <protection hidden="1"/>
    </xf>
    <xf numFmtId="185" fontId="104" fillId="0" borderId="0" xfId="27" applyFill="1" applyBorder="1" applyAlignment="1" applyProtection="1">
      <alignment horizontal="center" vertical="center"/>
      <protection hidden="1"/>
    </xf>
    <xf numFmtId="0" fontId="116" fillId="0" borderId="0" xfId="0" applyFont="1" applyAlignment="1" applyProtection="1">
      <alignment horizontal="center" vertical="center"/>
      <protection hidden="1"/>
    </xf>
    <xf numFmtId="185" fontId="106" fillId="34" borderId="27" xfId="27" applyFont="1" applyFill="1" applyBorder="1" applyAlignment="1" applyProtection="1">
      <protection hidden="1"/>
    </xf>
    <xf numFmtId="185" fontId="104" fillId="34" borderId="107" xfId="27" applyFill="1" applyBorder="1" applyAlignment="1" applyProtection="1">
      <alignment horizontal="center" vertical="center"/>
      <protection hidden="1"/>
    </xf>
    <xf numFmtId="1" fontId="123" fillId="37" borderId="64" xfId="0" applyNumberFormat="1" applyFont="1" applyFill="1" applyBorder="1" applyAlignment="1" applyProtection="1">
      <alignment horizontal="center"/>
      <protection hidden="1"/>
    </xf>
    <xf numFmtId="186" fontId="122" fillId="0" borderId="109" xfId="0" applyNumberFormat="1" applyFont="1" applyBorder="1" applyAlignment="1" applyProtection="1">
      <alignment horizontal="center" vertical="center"/>
      <protection hidden="1"/>
    </xf>
    <xf numFmtId="187" fontId="27" fillId="19" borderId="112" xfId="0" applyNumberFormat="1" applyFont="1" applyFill="1" applyBorder="1" applyAlignment="1" applyProtection="1">
      <alignment horizontal="center" vertical="center"/>
      <protection hidden="1"/>
    </xf>
    <xf numFmtId="164" fontId="55" fillId="0" borderId="0" xfId="0" applyNumberFormat="1" applyFont="1" applyAlignment="1" applyProtection="1">
      <alignment vertical="center"/>
      <protection hidden="1"/>
    </xf>
    <xf numFmtId="0" fontId="70" fillId="9" borderId="128" xfId="0" applyFont="1" applyFill="1" applyBorder="1" applyAlignment="1" applyProtection="1">
      <alignment vertical="center"/>
      <protection hidden="1"/>
    </xf>
    <xf numFmtId="1" fontId="109" fillId="37" borderId="129" xfId="0" applyNumberFormat="1" applyFont="1" applyFill="1" applyBorder="1" applyAlignment="1" applyProtection="1">
      <alignment horizontal="center"/>
      <protection hidden="1"/>
    </xf>
    <xf numFmtId="0" fontId="70" fillId="9" borderId="59" xfId="0" applyFont="1" applyFill="1" applyBorder="1" applyAlignment="1" applyProtection="1">
      <alignment vertical="center"/>
      <protection hidden="1"/>
    </xf>
    <xf numFmtId="0" fontId="70" fillId="9" borderId="58" xfId="0" applyFont="1" applyFill="1" applyBorder="1" applyAlignment="1" applyProtection="1">
      <alignment vertical="center"/>
      <protection hidden="1"/>
    </xf>
    <xf numFmtId="0" fontId="70" fillId="9" borderId="127" xfId="0" applyFont="1" applyFill="1" applyBorder="1" applyAlignment="1" applyProtection="1">
      <alignment vertical="center"/>
      <protection hidden="1"/>
    </xf>
    <xf numFmtId="1" fontId="109" fillId="37" borderId="132" xfId="0" applyNumberFormat="1" applyFont="1" applyFill="1" applyBorder="1" applyAlignment="1" applyProtection="1">
      <alignment horizontal="center"/>
      <protection hidden="1"/>
    </xf>
    <xf numFmtId="1" fontId="109" fillId="37" borderId="94" xfId="0" applyNumberFormat="1" applyFont="1" applyFill="1" applyBorder="1" applyAlignment="1" applyProtection="1">
      <alignment horizontal="center"/>
      <protection hidden="1"/>
    </xf>
    <xf numFmtId="1" fontId="109" fillId="37" borderId="24" xfId="0" applyNumberFormat="1" applyFont="1" applyFill="1" applyBorder="1" applyAlignment="1" applyProtection="1">
      <alignment horizontal="center"/>
      <protection hidden="1"/>
    </xf>
    <xf numFmtId="170" fontId="27" fillId="40" borderId="103" xfId="0" applyNumberFormat="1" applyFont="1" applyFill="1" applyBorder="1" applyAlignment="1" applyProtection="1">
      <alignment horizontal="center" vertical="center"/>
      <protection hidden="1"/>
    </xf>
    <xf numFmtId="187" fontId="27" fillId="40" borderId="68" xfId="0" applyNumberFormat="1" applyFont="1" applyFill="1" applyBorder="1" applyAlignment="1" applyProtection="1">
      <alignment horizontal="center" vertical="center"/>
      <protection hidden="1"/>
    </xf>
    <xf numFmtId="186" fontId="128" fillId="0" borderId="108" xfId="0" applyNumberFormat="1" applyFont="1" applyBorder="1" applyAlignment="1" applyProtection="1">
      <alignment horizontal="center" vertical="center"/>
      <protection hidden="1"/>
    </xf>
    <xf numFmtId="186" fontId="128" fillId="0" borderId="109" xfId="0" applyNumberFormat="1" applyFont="1" applyBorder="1" applyAlignment="1" applyProtection="1">
      <alignment horizontal="center" vertical="center"/>
      <protection hidden="1"/>
    </xf>
    <xf numFmtId="185" fontId="106" fillId="34" borderId="0" xfId="27" applyFont="1" applyFill="1" applyBorder="1" applyAlignment="1" applyProtection="1">
      <protection hidden="1"/>
    </xf>
    <xf numFmtId="185" fontId="106" fillId="0" borderId="28" xfId="27" applyFont="1" applyFill="1" applyBorder="1" applyProtection="1">
      <alignment horizontal="center"/>
      <protection hidden="1"/>
    </xf>
    <xf numFmtId="185" fontId="104" fillId="0" borderId="65" xfId="27" applyFill="1" applyBorder="1" applyAlignment="1" applyProtection="1">
      <alignment horizontal="center" vertical="center"/>
      <protection hidden="1"/>
    </xf>
    <xf numFmtId="185" fontId="104" fillId="0" borderId="138" xfId="27" applyFill="1" applyBorder="1" applyAlignment="1" applyProtection="1">
      <alignment horizontal="center" vertical="center"/>
      <protection hidden="1"/>
    </xf>
    <xf numFmtId="185" fontId="104" fillId="34" borderId="139" xfId="27" applyFill="1" applyBorder="1" applyAlignment="1" applyProtection="1">
      <alignment horizontal="center" vertical="center"/>
      <protection hidden="1"/>
    </xf>
    <xf numFmtId="185" fontId="102" fillId="46" borderId="0" xfId="27" applyFont="1" applyFill="1" applyBorder="1" applyAlignment="1" applyProtection="1">
      <alignment horizontal="center" vertical="center"/>
      <protection hidden="1"/>
    </xf>
    <xf numFmtId="1" fontId="123" fillId="37" borderId="109" xfId="0" applyNumberFormat="1" applyFont="1" applyFill="1" applyBorder="1" applyAlignment="1" applyProtection="1">
      <alignment horizontal="center"/>
      <protection hidden="1"/>
    </xf>
    <xf numFmtId="185" fontId="105" fillId="33" borderId="28" xfId="27" applyFont="1" applyBorder="1" applyAlignment="1" applyProtection="1">
      <alignment horizontal="center" vertical="center"/>
      <protection hidden="1"/>
    </xf>
    <xf numFmtId="185" fontId="102" fillId="46" borderId="28" xfId="27" applyFont="1" applyFill="1" applyBorder="1" applyAlignment="1" applyProtection="1">
      <alignment horizontal="center" vertical="center"/>
      <protection hidden="1"/>
    </xf>
    <xf numFmtId="0" fontId="115" fillId="43" borderId="0" xfId="0" applyFont="1" applyFill="1" applyAlignment="1" applyProtection="1">
      <alignment horizontal="center" vertical="center"/>
      <protection hidden="1"/>
    </xf>
    <xf numFmtId="186" fontId="108" fillId="37" borderId="137" xfId="0" applyNumberFormat="1" applyFont="1" applyFill="1" applyBorder="1" applyAlignment="1" applyProtection="1">
      <alignment horizontal="center" vertical="center"/>
      <protection hidden="1"/>
    </xf>
    <xf numFmtId="186" fontId="122" fillId="0" borderId="140" xfId="0" applyNumberFormat="1" applyFont="1" applyBorder="1" applyAlignment="1" applyProtection="1">
      <alignment horizontal="center" vertical="center"/>
      <protection hidden="1"/>
    </xf>
    <xf numFmtId="186" fontId="128" fillId="0" borderId="140" xfId="0" applyNumberFormat="1" applyFont="1" applyBorder="1" applyAlignment="1" applyProtection="1">
      <alignment horizontal="center" vertical="center"/>
      <protection hidden="1"/>
    </xf>
    <xf numFmtId="1" fontId="123" fillId="37" borderId="141" xfId="0" applyNumberFormat="1" applyFont="1" applyFill="1" applyBorder="1" applyAlignment="1" applyProtection="1">
      <alignment horizontal="center"/>
      <protection hidden="1"/>
    </xf>
    <xf numFmtId="1" fontId="109" fillId="37" borderId="141" xfId="0" applyNumberFormat="1" applyFont="1" applyFill="1" applyBorder="1" applyAlignment="1" applyProtection="1">
      <alignment horizontal="center"/>
      <protection hidden="1"/>
    </xf>
    <xf numFmtId="1" fontId="123" fillId="37" borderId="140" xfId="0" applyNumberFormat="1" applyFont="1" applyFill="1" applyBorder="1" applyAlignment="1" applyProtection="1">
      <alignment horizontal="center"/>
      <protection hidden="1"/>
    </xf>
    <xf numFmtId="0" fontId="57" fillId="0" borderId="0" xfId="0" applyFont="1" applyAlignment="1" applyProtection="1">
      <alignment horizontal="left" vertical="center" wrapText="1"/>
      <protection hidden="1"/>
    </xf>
    <xf numFmtId="0" fontId="92" fillId="0" borderId="0" xfId="0" applyFont="1" applyAlignment="1" applyProtection="1">
      <alignment horizontal="left" vertical="center" wrapText="1"/>
      <protection hidden="1"/>
    </xf>
    <xf numFmtId="0" fontId="27" fillId="0" borderId="0" xfId="0" applyFont="1" applyAlignment="1" applyProtection="1">
      <alignment horizontal="left" vertical="center" wrapText="1"/>
      <protection hidden="1"/>
    </xf>
    <xf numFmtId="0" fontId="55" fillId="0" borderId="0" xfId="0" applyFont="1" applyAlignment="1" applyProtection="1">
      <alignment horizontal="center"/>
      <protection hidden="1"/>
    </xf>
    <xf numFmtId="170" fontId="27" fillId="19" borderId="73" xfId="0" applyNumberFormat="1" applyFont="1" applyFill="1" applyBorder="1" applyAlignment="1" applyProtection="1">
      <alignment horizontal="center" vertical="center"/>
      <protection hidden="1"/>
    </xf>
    <xf numFmtId="187" fontId="27" fillId="19" borderId="142" xfId="0" applyNumberFormat="1" applyFont="1" applyFill="1" applyBorder="1" applyAlignment="1" applyProtection="1">
      <alignment horizontal="center" vertical="center"/>
      <protection hidden="1"/>
    </xf>
    <xf numFmtId="176" fontId="131" fillId="12" borderId="130" xfId="0" applyNumberFormat="1" applyFont="1" applyFill="1" applyBorder="1" applyAlignment="1" applyProtection="1">
      <alignment horizontal="center" vertical="center"/>
      <protection hidden="1"/>
    </xf>
    <xf numFmtId="176" fontId="131" fillId="12" borderId="131" xfId="0" applyNumberFormat="1" applyFont="1" applyFill="1" applyBorder="1" applyAlignment="1" applyProtection="1">
      <alignment horizontal="center" vertical="center"/>
      <protection hidden="1"/>
    </xf>
    <xf numFmtId="0" fontId="27" fillId="0" borderId="10" xfId="0" applyFont="1" applyBorder="1" applyAlignment="1">
      <alignment vertical="center" wrapText="1"/>
    </xf>
    <xf numFmtId="0" fontId="133" fillId="0" borderId="0" xfId="0" quotePrefix="1" applyFont="1"/>
    <xf numFmtId="0" fontId="60" fillId="19" borderId="0" xfId="0" applyFont="1" applyFill="1" applyProtection="1">
      <protection locked="0"/>
    </xf>
    <xf numFmtId="0" fontId="25" fillId="19" borderId="0" xfId="0" applyFont="1" applyFill="1" applyAlignment="1" applyProtection="1">
      <alignment vertical="center"/>
      <protection locked="0"/>
    </xf>
    <xf numFmtId="0" fontId="60" fillId="0" borderId="0" xfId="0" applyFont="1"/>
    <xf numFmtId="0" fontId="25" fillId="19" borderId="0" xfId="0" applyFont="1" applyFill="1" applyProtection="1">
      <protection locked="0"/>
    </xf>
    <xf numFmtId="164" fontId="134" fillId="8" borderId="0" xfId="0" applyNumberFormat="1" applyFont="1" applyFill="1" applyAlignment="1" applyProtection="1">
      <alignment vertical="center"/>
      <protection hidden="1"/>
    </xf>
    <xf numFmtId="164" fontId="119" fillId="8" borderId="0" xfId="0" applyNumberFormat="1" applyFont="1" applyFill="1" applyAlignment="1" applyProtection="1">
      <alignment vertical="center"/>
      <protection hidden="1"/>
    </xf>
    <xf numFmtId="14" fontId="27" fillId="4" borderId="69" xfId="0" applyNumberFormat="1" applyFont="1" applyFill="1" applyBorder="1" applyAlignment="1" applyProtection="1">
      <alignment horizontal="center" vertical="center" wrapText="1"/>
      <protection locked="0"/>
    </xf>
    <xf numFmtId="14" fontId="27" fillId="4" borderId="92" xfId="0" applyNumberFormat="1" applyFont="1" applyFill="1" applyBorder="1" applyAlignment="1" applyProtection="1">
      <alignment horizontal="center" vertical="center"/>
      <protection locked="0"/>
    </xf>
    <xf numFmtId="0" fontId="27" fillId="0" borderId="148" xfId="0" applyFont="1" applyBorder="1" applyAlignment="1" applyProtection="1">
      <alignment horizontal="center" vertical="center"/>
      <protection locked="0"/>
    </xf>
    <xf numFmtId="14" fontId="27" fillId="4" borderId="149" xfId="0" applyNumberFormat="1" applyFont="1" applyFill="1" applyBorder="1" applyAlignment="1" applyProtection="1">
      <alignment horizontal="center" vertical="center"/>
      <protection locked="0"/>
    </xf>
    <xf numFmtId="0" fontId="136" fillId="8" borderId="0" xfId="0" applyFont="1" applyFill="1" applyAlignment="1" applyProtection="1">
      <alignment horizontal="left" vertical="center"/>
      <protection hidden="1"/>
    </xf>
    <xf numFmtId="0" fontId="137" fillId="8" borderId="0" xfId="0" applyFont="1" applyFill="1" applyAlignment="1" applyProtection="1">
      <alignment vertical="center"/>
      <protection hidden="1"/>
    </xf>
    <xf numFmtId="0" fontId="135" fillId="8" borderId="0" xfId="0" applyFont="1" applyFill="1" applyAlignment="1" applyProtection="1">
      <alignment vertical="center"/>
      <protection hidden="1"/>
    </xf>
    <xf numFmtId="164" fontId="137" fillId="8" borderId="0" xfId="0" applyNumberFormat="1" applyFont="1" applyFill="1" applyAlignment="1" applyProtection="1">
      <alignment vertical="center"/>
      <protection hidden="1"/>
    </xf>
    <xf numFmtId="0" fontId="138" fillId="25" borderId="0" xfId="0" applyFont="1" applyFill="1" applyAlignment="1" applyProtection="1">
      <alignment vertical="center" wrapText="1"/>
      <protection hidden="1"/>
    </xf>
    <xf numFmtId="0" fontId="57" fillId="27" borderId="0" xfId="0" applyFont="1" applyFill="1" applyAlignment="1" applyProtection="1">
      <alignment vertical="center"/>
      <protection hidden="1"/>
    </xf>
    <xf numFmtId="0" fontId="139" fillId="8" borderId="0" xfId="0" applyFont="1" applyFill="1" applyAlignment="1" applyProtection="1">
      <alignment horizontal="center" vertical="center"/>
      <protection hidden="1"/>
    </xf>
    <xf numFmtId="164" fontId="139" fillId="8" borderId="0" xfId="0" applyNumberFormat="1" applyFont="1" applyFill="1" applyAlignment="1" applyProtection="1">
      <alignment vertical="center"/>
      <protection hidden="1"/>
    </xf>
    <xf numFmtId="0" fontId="139" fillId="8" borderId="0" xfId="0" applyFont="1" applyFill="1" applyAlignment="1" applyProtection="1">
      <alignment vertical="center"/>
      <protection hidden="1"/>
    </xf>
    <xf numFmtId="0" fontId="137" fillId="0" borderId="0" xfId="0" applyFont="1" applyAlignment="1" applyProtection="1">
      <alignment vertical="center"/>
      <protection hidden="1"/>
    </xf>
    <xf numFmtId="20" fontId="137" fillId="0" borderId="0" xfId="0" applyNumberFormat="1" applyFont="1" applyAlignment="1" applyProtection="1">
      <alignment horizontal="center" vertical="center"/>
      <protection hidden="1"/>
    </xf>
    <xf numFmtId="0" fontId="135" fillId="0" borderId="0" xfId="0" applyFont="1" applyAlignment="1" applyProtection="1">
      <alignment vertical="center"/>
      <protection hidden="1"/>
    </xf>
    <xf numFmtId="0" fontId="137" fillId="0" borderId="0" xfId="0" applyFont="1" applyAlignment="1" applyProtection="1">
      <alignment horizontal="center" vertical="center"/>
      <protection hidden="1"/>
    </xf>
    <xf numFmtId="0" fontId="140" fillId="0" borderId="0" xfId="0" applyFont="1" applyAlignment="1" applyProtection="1">
      <alignment horizontal="left" vertical="center"/>
      <protection hidden="1"/>
    </xf>
    <xf numFmtId="0" fontId="57" fillId="0" borderId="0" xfId="0" applyFont="1" applyAlignment="1" applyProtection="1">
      <alignment horizontal="left" vertical="center"/>
      <protection hidden="1"/>
    </xf>
    <xf numFmtId="20" fontId="137" fillId="0" borderId="0" xfId="2" applyFont="1" applyAlignment="1" applyProtection="1">
      <alignment horizontal="center" vertical="center"/>
      <protection hidden="1"/>
    </xf>
    <xf numFmtId="164" fontId="137" fillId="0" borderId="0" xfId="0" applyNumberFormat="1" applyFont="1" applyAlignment="1" applyProtection="1">
      <alignment vertical="center"/>
      <protection hidden="1"/>
    </xf>
    <xf numFmtId="0" fontId="137" fillId="7" borderId="0" xfId="0" applyFont="1" applyFill="1" applyAlignment="1" applyProtection="1">
      <alignment vertical="center"/>
      <protection hidden="1"/>
    </xf>
    <xf numFmtId="0" fontId="137" fillId="7" borderId="0" xfId="0" applyFont="1" applyFill="1" applyAlignment="1" applyProtection="1">
      <alignment horizontal="center" vertical="center"/>
      <protection hidden="1"/>
    </xf>
    <xf numFmtId="0" fontId="135" fillId="7" borderId="0" xfId="0" applyFont="1" applyFill="1" applyAlignment="1" applyProtection="1">
      <alignment vertical="center"/>
      <protection hidden="1"/>
    </xf>
    <xf numFmtId="164" fontId="141" fillId="8" borderId="0" xfId="0" applyNumberFormat="1" applyFont="1" applyFill="1" applyAlignment="1" applyProtection="1">
      <alignment vertical="center"/>
      <protection hidden="1"/>
    </xf>
    <xf numFmtId="164" fontId="142" fillId="8" borderId="0" xfId="0" applyNumberFormat="1" applyFont="1" applyFill="1" applyAlignment="1" applyProtection="1">
      <alignment vertical="center"/>
      <protection hidden="1"/>
    </xf>
    <xf numFmtId="164" fontId="66" fillId="8" borderId="0" xfId="0" applyNumberFormat="1" applyFont="1" applyFill="1" applyAlignment="1" applyProtection="1">
      <alignment vertical="center"/>
      <protection hidden="1"/>
    </xf>
    <xf numFmtId="0" fontId="1" fillId="8" borderId="0" xfId="0" applyFont="1" applyFill="1" applyAlignment="1" applyProtection="1">
      <alignment horizontal="left" vertical="center"/>
      <protection hidden="1"/>
    </xf>
    <xf numFmtId="0" fontId="55" fillId="0" borderId="3" xfId="0" applyFont="1" applyBorder="1" applyAlignment="1" applyProtection="1">
      <alignment vertical="center"/>
      <protection hidden="1"/>
    </xf>
    <xf numFmtId="49" fontId="55" fillId="0" borderId="0" xfId="0" applyNumberFormat="1" applyFont="1" applyAlignment="1" applyProtection="1">
      <alignment horizontal="center" vertical="center"/>
      <protection hidden="1"/>
    </xf>
    <xf numFmtId="0" fontId="144" fillId="0" borderId="0" xfId="0" applyFont="1" applyProtection="1">
      <protection hidden="1"/>
    </xf>
    <xf numFmtId="20" fontId="55" fillId="0" borderId="0" xfId="0" applyNumberFormat="1" applyFont="1" applyAlignment="1" applyProtection="1">
      <alignment horizontal="center" vertical="center"/>
      <protection hidden="1"/>
    </xf>
    <xf numFmtId="20" fontId="55" fillId="0" borderId="0" xfId="0" applyNumberFormat="1" applyFont="1" applyAlignment="1" applyProtection="1">
      <alignment vertical="center"/>
      <protection hidden="1"/>
    </xf>
    <xf numFmtId="0" fontId="68" fillId="0" borderId="0" xfId="0" applyFont="1" applyAlignment="1" applyProtection="1">
      <alignment vertical="center" wrapText="1"/>
      <protection hidden="1"/>
    </xf>
    <xf numFmtId="180" fontId="25" fillId="28" borderId="158" xfId="26" applyNumberFormat="1" applyFont="1" applyFill="1" applyBorder="1" applyAlignment="1" applyProtection="1">
      <alignment horizontal="center" vertical="center"/>
      <protection locked="0"/>
    </xf>
    <xf numFmtId="0" fontId="75" fillId="18" borderId="158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/>
      <protection hidden="1"/>
    </xf>
    <xf numFmtId="0" fontId="55" fillId="19" borderId="0" xfId="0" applyFont="1" applyFill="1" applyAlignment="1" applyProtection="1">
      <alignment horizontal="center" vertical="center"/>
      <protection hidden="1"/>
    </xf>
    <xf numFmtId="0" fontId="96" fillId="48" borderId="93" xfId="0" applyFont="1" applyFill="1" applyBorder="1" applyAlignment="1" applyProtection="1">
      <alignment horizontal="center" vertical="center"/>
      <protection hidden="1"/>
    </xf>
    <xf numFmtId="169" fontId="50" fillId="0" borderId="21" xfId="0" applyNumberFormat="1" applyFont="1" applyBorder="1" applyAlignment="1" applyProtection="1">
      <alignment horizontal="center"/>
      <protection hidden="1"/>
    </xf>
    <xf numFmtId="0" fontId="135" fillId="0" borderId="69" xfId="0" applyFont="1" applyBorder="1" applyAlignment="1" applyProtection="1">
      <alignment horizontal="center" vertical="center"/>
      <protection hidden="1"/>
    </xf>
    <xf numFmtId="14" fontId="50" fillId="0" borderId="69" xfId="0" applyNumberFormat="1" applyFont="1" applyBorder="1" applyAlignment="1" applyProtection="1">
      <alignment horizontal="center"/>
      <protection hidden="1"/>
    </xf>
    <xf numFmtId="0" fontId="147" fillId="0" borderId="60" xfId="0" applyFont="1" applyBorder="1" applyAlignment="1" applyProtection="1">
      <alignment horizontal="left" vertical="center" wrapText="1"/>
      <protection hidden="1"/>
    </xf>
    <xf numFmtId="0" fontId="146" fillId="0" borderId="0" xfId="0" applyFont="1" applyProtection="1">
      <protection hidden="1"/>
    </xf>
    <xf numFmtId="0" fontId="96" fillId="0" borderId="0" xfId="0" applyFont="1" applyAlignment="1" applyProtection="1">
      <alignment horizontal="left" vertical="center"/>
      <protection hidden="1"/>
    </xf>
    <xf numFmtId="0" fontId="0" fillId="0" borderId="93" xfId="0" applyBorder="1" applyAlignment="1" applyProtection="1">
      <alignment horizontal="center" vertical="center"/>
      <protection hidden="1"/>
    </xf>
    <xf numFmtId="14" fontId="50" fillId="0" borderId="21" xfId="0" applyNumberFormat="1" applyFont="1" applyBorder="1" applyAlignment="1" applyProtection="1">
      <alignment horizontal="center"/>
      <protection hidden="1"/>
    </xf>
    <xf numFmtId="0" fontId="147" fillId="0" borderId="44" xfId="0" applyFont="1" applyBorder="1" applyAlignment="1" applyProtection="1">
      <alignment horizontal="left" vertical="center" wrapText="1"/>
      <protection hidden="1"/>
    </xf>
    <xf numFmtId="14" fontId="50" fillId="0" borderId="47" xfId="0" applyNumberFormat="1" applyFont="1" applyBorder="1" applyAlignment="1" applyProtection="1">
      <alignment horizontal="center"/>
      <protection hidden="1"/>
    </xf>
    <xf numFmtId="169" fontId="50" fillId="0" borderId="169" xfId="0" applyNumberFormat="1" applyFont="1" applyBorder="1" applyAlignment="1" applyProtection="1">
      <alignment horizontal="center"/>
      <protection hidden="1"/>
    </xf>
    <xf numFmtId="14" fontId="50" fillId="0" borderId="169" xfId="0" applyNumberFormat="1" applyFont="1" applyBorder="1" applyAlignment="1" applyProtection="1">
      <alignment horizontal="center"/>
      <protection hidden="1"/>
    </xf>
    <xf numFmtId="14" fontId="50" fillId="0" borderId="126" xfId="0" applyNumberFormat="1" applyFont="1" applyBorder="1" applyAlignment="1" applyProtection="1">
      <alignment horizontal="center"/>
      <protection hidden="1"/>
    </xf>
    <xf numFmtId="169" fontId="50" fillId="0" borderId="170" xfId="0" applyNumberFormat="1" applyFont="1" applyBorder="1" applyAlignment="1" applyProtection="1">
      <alignment horizontal="center"/>
      <protection hidden="1"/>
    </xf>
    <xf numFmtId="0" fontId="135" fillId="45" borderId="171" xfId="0" applyFont="1" applyFill="1" applyBorder="1" applyAlignment="1" applyProtection="1">
      <alignment horizontal="center" vertical="center"/>
      <protection locked="0"/>
    </xf>
    <xf numFmtId="14" fontId="50" fillId="45" borderId="172" xfId="0" applyNumberFormat="1" applyFont="1" applyFill="1" applyBorder="1" applyAlignment="1" applyProtection="1">
      <alignment horizontal="center"/>
      <protection locked="0"/>
    </xf>
    <xf numFmtId="169" fontId="50" fillId="0" borderId="173" xfId="0" applyNumberFormat="1" applyFont="1" applyBorder="1" applyAlignment="1" applyProtection="1">
      <alignment horizontal="center"/>
      <protection hidden="1"/>
    </xf>
    <xf numFmtId="0" fontId="135" fillId="45" borderId="69" xfId="0" applyFont="1" applyFill="1" applyBorder="1" applyAlignment="1" applyProtection="1">
      <alignment horizontal="center" vertical="center"/>
      <protection locked="0"/>
    </xf>
    <xf numFmtId="14" fontId="50" fillId="45" borderId="174" xfId="0" applyNumberFormat="1" applyFont="1" applyFill="1" applyBorder="1" applyAlignment="1" applyProtection="1">
      <alignment horizontal="center"/>
      <protection locked="0"/>
    </xf>
    <xf numFmtId="169" fontId="50" fillId="0" borderId="175" xfId="0" applyNumberFormat="1" applyFont="1" applyBorder="1" applyAlignment="1" applyProtection="1">
      <alignment horizontal="center" wrapText="1"/>
      <protection hidden="1"/>
    </xf>
    <xf numFmtId="0" fontId="135" fillId="45" borderId="176" xfId="0" applyFont="1" applyFill="1" applyBorder="1" applyAlignment="1" applyProtection="1">
      <alignment horizontal="center" vertical="center"/>
      <protection locked="0"/>
    </xf>
    <xf numFmtId="14" fontId="50" fillId="45" borderId="177" xfId="0" applyNumberFormat="1" applyFont="1" applyFill="1" applyBorder="1" applyAlignment="1" applyProtection="1">
      <alignment horizontal="center"/>
      <protection locked="0"/>
    </xf>
    <xf numFmtId="169" fontId="50" fillId="0" borderId="21" xfId="0" applyNumberFormat="1" applyFont="1" applyBorder="1" applyAlignment="1" applyProtection="1">
      <alignment horizontal="center" wrapText="1"/>
      <protection hidden="1"/>
    </xf>
    <xf numFmtId="0" fontId="50" fillId="0" borderId="21" xfId="0" applyFont="1" applyBorder="1" applyAlignment="1" applyProtection="1">
      <alignment horizontal="center" vertical="center"/>
      <protection hidden="1"/>
    </xf>
    <xf numFmtId="0" fontId="50" fillId="0" borderId="0" xfId="0" applyFont="1" applyAlignment="1" applyProtection="1">
      <alignment horizontal="left" vertical="center"/>
      <protection hidden="1"/>
    </xf>
    <xf numFmtId="14" fontId="50" fillId="0" borderId="0" xfId="0" applyNumberFormat="1" applyFont="1" applyAlignment="1" applyProtection="1">
      <alignment horizontal="center" vertical="center"/>
      <protection hidden="1"/>
    </xf>
    <xf numFmtId="0" fontId="135" fillId="0" borderId="0" xfId="0" applyFont="1" applyAlignment="1" applyProtection="1">
      <alignment horizontal="left" vertical="center"/>
      <protection hidden="1"/>
    </xf>
    <xf numFmtId="0" fontId="135" fillId="0" borderId="0" xfId="0" applyFont="1" applyAlignment="1" applyProtection="1">
      <alignment horizontal="center" vertical="center"/>
      <protection hidden="1"/>
    </xf>
    <xf numFmtId="14" fontId="96" fillId="0" borderId="0" xfId="0" applyNumberFormat="1" applyFont="1" applyAlignment="1" applyProtection="1">
      <alignment horizontal="center" vertical="center"/>
      <protection hidden="1"/>
    </xf>
    <xf numFmtId="0" fontId="96" fillId="0" borderId="0" xfId="0" applyFont="1" applyAlignment="1" applyProtection="1">
      <alignment vertical="center"/>
      <protection hidden="1"/>
    </xf>
    <xf numFmtId="0" fontId="96" fillId="0" borderId="0" xfId="0" applyFont="1" applyAlignment="1" applyProtection="1">
      <alignment horizontal="center" vertical="center"/>
      <protection hidden="1"/>
    </xf>
    <xf numFmtId="1" fontId="96" fillId="0" borderId="0" xfId="0" applyNumberFormat="1" applyFont="1" applyAlignment="1" applyProtection="1">
      <alignment horizontal="center" vertical="center"/>
      <protection hidden="1"/>
    </xf>
    <xf numFmtId="164" fontId="50" fillId="17" borderId="0" xfId="0" applyNumberFormat="1" applyFont="1" applyFill="1" applyAlignment="1" applyProtection="1">
      <alignment vertical="center"/>
      <protection hidden="1"/>
    </xf>
    <xf numFmtId="14" fontId="50" fillId="0" borderId="21" xfId="0" applyNumberFormat="1" applyFont="1" applyBorder="1" applyAlignment="1" applyProtection="1">
      <alignment horizontal="center" wrapText="1"/>
      <protection hidden="1"/>
    </xf>
    <xf numFmtId="0" fontId="50" fillId="0" borderId="47" xfId="0" applyFont="1" applyBorder="1" applyAlignment="1" applyProtection="1">
      <alignment horizontal="center" vertical="center"/>
      <protection hidden="1"/>
    </xf>
    <xf numFmtId="0" fontId="50" fillId="0" borderId="92" xfId="0" applyFont="1" applyBorder="1" applyAlignment="1" applyProtection="1">
      <alignment horizontal="center" vertical="center"/>
      <protection hidden="1"/>
    </xf>
    <xf numFmtId="182" fontId="50" fillId="0" borderId="93" xfId="0" quotePrefix="1" applyNumberFormat="1" applyFont="1" applyBorder="1" applyAlignment="1" applyProtection="1">
      <alignment horizontal="center" vertical="center" wrapText="1"/>
      <protection hidden="1"/>
    </xf>
    <xf numFmtId="0" fontId="0" fillId="0" borderId="93" xfId="0" applyBorder="1" applyAlignment="1" applyProtection="1">
      <alignment horizontal="center"/>
      <protection hidden="1"/>
    </xf>
    <xf numFmtId="182" fontId="120" fillId="0" borderId="0" xfId="0" quotePrefix="1" applyNumberFormat="1" applyFont="1" applyAlignment="1" applyProtection="1">
      <alignment vertical="center" wrapText="1"/>
      <protection hidden="1"/>
    </xf>
    <xf numFmtId="14" fontId="74" fillId="0" borderId="0" xfId="0" applyNumberFormat="1" applyFont="1" applyAlignment="1" applyProtection="1">
      <alignment horizontal="center" wrapText="1"/>
      <protection hidden="1"/>
    </xf>
    <xf numFmtId="0" fontId="50" fillId="0" borderId="0" xfId="0" applyFont="1" applyAlignment="1" applyProtection="1">
      <alignment vertical="center"/>
      <protection locked="0"/>
    </xf>
    <xf numFmtId="169" fontId="50" fillId="0" borderId="69" xfId="0" applyNumberFormat="1" applyFont="1" applyBorder="1" applyAlignment="1" applyProtection="1">
      <alignment horizontal="center"/>
      <protection hidden="1"/>
    </xf>
    <xf numFmtId="169" fontId="50" fillId="0" borderId="147" xfId="0" applyNumberFormat="1" applyFont="1" applyBorder="1" applyAlignment="1" applyProtection="1">
      <alignment horizontal="center"/>
      <protection hidden="1"/>
    </xf>
    <xf numFmtId="0" fontId="135" fillId="0" borderId="147" xfId="0" applyFont="1" applyBorder="1" applyAlignment="1" applyProtection="1">
      <alignment horizontal="center" vertical="center"/>
      <protection hidden="1"/>
    </xf>
    <xf numFmtId="14" fontId="50" fillId="0" borderId="147" xfId="0" applyNumberFormat="1" applyFont="1" applyBorder="1" applyAlignment="1" applyProtection="1">
      <alignment horizontal="center"/>
      <protection hidden="1"/>
    </xf>
    <xf numFmtId="0" fontId="135" fillId="0" borderId="168" xfId="0" applyFont="1" applyBorder="1" applyAlignment="1" applyProtection="1">
      <alignment horizontal="center" vertical="center"/>
      <protection hidden="1"/>
    </xf>
    <xf numFmtId="0" fontId="147" fillId="0" borderId="178" xfId="0" applyFont="1" applyBorder="1" applyAlignment="1" applyProtection="1">
      <alignment horizontal="left" vertical="center" wrapText="1"/>
      <protection hidden="1"/>
    </xf>
    <xf numFmtId="170" fontId="27" fillId="0" borderId="179" xfId="0" applyNumberFormat="1" applyFont="1" applyBorder="1" applyAlignment="1" applyProtection="1">
      <alignment horizontal="center"/>
      <protection hidden="1"/>
    </xf>
    <xf numFmtId="0" fontId="148" fillId="0" borderId="84" xfId="0" applyFont="1" applyBorder="1" applyAlignment="1">
      <alignment horizontal="center" vertical="center"/>
    </xf>
    <xf numFmtId="0" fontId="148" fillId="0" borderId="180" xfId="0" applyFont="1" applyBorder="1" applyAlignment="1">
      <alignment horizontal="center" vertical="center"/>
    </xf>
    <xf numFmtId="0" fontId="148" fillId="0" borderId="77" xfId="0" applyFont="1" applyBorder="1" applyAlignment="1">
      <alignment horizontal="center" vertical="center"/>
    </xf>
    <xf numFmtId="0" fontId="148" fillId="0" borderId="181" xfId="0" applyFont="1" applyBorder="1" applyAlignment="1">
      <alignment horizontal="center" vertical="center"/>
    </xf>
    <xf numFmtId="0" fontId="100" fillId="0" borderId="0" xfId="0" applyFont="1" applyAlignment="1" applyProtection="1">
      <alignment horizontal="center"/>
      <protection hidden="1"/>
    </xf>
    <xf numFmtId="0" fontId="100" fillId="0" borderId="0" xfId="0" applyFont="1" applyProtection="1">
      <protection hidden="1"/>
    </xf>
    <xf numFmtId="0" fontId="100" fillId="0" borderId="0" xfId="0" applyFont="1" applyAlignment="1" applyProtection="1">
      <alignment horizontal="left"/>
      <protection hidden="1"/>
    </xf>
    <xf numFmtId="0" fontId="100" fillId="0" borderId="182" xfId="0" applyFont="1" applyBorder="1" applyAlignment="1" applyProtection="1">
      <alignment horizontal="center" vertical="center"/>
      <protection hidden="1"/>
    </xf>
    <xf numFmtId="0" fontId="100" fillId="28" borderId="68" xfId="0" applyFont="1" applyFill="1" applyBorder="1" applyAlignment="1" applyProtection="1">
      <alignment horizontal="center" vertical="center"/>
      <protection locked="0"/>
    </xf>
    <xf numFmtId="0" fontId="100" fillId="0" borderId="126" xfId="0" applyFont="1" applyBorder="1" applyAlignment="1" applyProtection="1">
      <alignment horizontal="center"/>
      <protection hidden="1"/>
    </xf>
    <xf numFmtId="14" fontId="96" fillId="28" borderId="183" xfId="0" applyNumberFormat="1" applyFont="1" applyFill="1" applyBorder="1" applyAlignment="1" applyProtection="1">
      <alignment horizontal="center" vertical="center" wrapText="1"/>
      <protection hidden="1"/>
    </xf>
    <xf numFmtId="14" fontId="96" fillId="28" borderId="184" xfId="0" applyNumberFormat="1" applyFont="1" applyFill="1" applyBorder="1" applyAlignment="1" applyProtection="1">
      <alignment horizontal="center" vertical="center" wrapText="1"/>
      <protection hidden="1"/>
    </xf>
    <xf numFmtId="1" fontId="151" fillId="8" borderId="0" xfId="0" applyNumberFormat="1" applyFont="1" applyFill="1" applyAlignment="1" applyProtection="1">
      <alignment vertical="center"/>
      <protection hidden="1"/>
    </xf>
    <xf numFmtId="0" fontId="152" fillId="8" borderId="0" xfId="0" applyFont="1" applyFill="1" applyAlignment="1" applyProtection="1">
      <alignment vertical="center"/>
      <protection hidden="1"/>
    </xf>
    <xf numFmtId="164" fontId="153" fillId="8" borderId="0" xfId="0" applyNumberFormat="1" applyFont="1" applyFill="1" applyAlignment="1" applyProtection="1">
      <alignment vertical="center"/>
      <protection hidden="1"/>
    </xf>
    <xf numFmtId="0" fontId="44" fillId="0" borderId="0" xfId="0" applyFont="1" applyAlignment="1" applyProtection="1">
      <alignment vertical="center"/>
      <protection hidden="1"/>
    </xf>
    <xf numFmtId="170" fontId="27" fillId="0" borderId="0" xfId="0" applyNumberFormat="1" applyFont="1" applyAlignment="1" applyProtection="1">
      <alignment horizontal="center" vertical="center"/>
      <protection hidden="1"/>
    </xf>
    <xf numFmtId="187" fontId="27" fillId="0" borderId="0" xfId="0" applyNumberFormat="1" applyFont="1" applyAlignment="1" applyProtection="1">
      <alignment horizontal="center" vertical="center"/>
      <protection hidden="1"/>
    </xf>
    <xf numFmtId="170" fontId="27" fillId="19" borderId="192" xfId="0" applyNumberFormat="1" applyFont="1" applyFill="1" applyBorder="1" applyAlignment="1" applyProtection="1">
      <alignment horizontal="center" vertical="center"/>
      <protection hidden="1"/>
    </xf>
    <xf numFmtId="187" fontId="27" fillId="19" borderId="193" xfId="0" applyNumberFormat="1" applyFont="1" applyFill="1" applyBorder="1" applyAlignment="1" applyProtection="1">
      <alignment horizontal="center" vertical="center"/>
      <protection hidden="1"/>
    </xf>
    <xf numFmtId="170" fontId="27" fillId="40" borderId="68" xfId="0" applyNumberFormat="1" applyFont="1" applyFill="1" applyBorder="1" applyAlignment="1" applyProtection="1">
      <alignment horizontal="center" vertical="center"/>
      <protection hidden="1"/>
    </xf>
    <xf numFmtId="0" fontId="27" fillId="0" borderId="197" xfId="0" applyFont="1" applyBorder="1" applyAlignment="1">
      <alignment horizontal="center" vertical="center"/>
    </xf>
    <xf numFmtId="0" fontId="27" fillId="0" borderId="198" xfId="0" applyFont="1" applyBorder="1" applyAlignment="1">
      <alignment horizontal="center" vertical="center"/>
    </xf>
    <xf numFmtId="0" fontId="27" fillId="0" borderId="199" xfId="0" applyFont="1" applyBorder="1" applyAlignment="1">
      <alignment horizontal="center" vertical="center"/>
    </xf>
    <xf numFmtId="0" fontId="27" fillId="0" borderId="200" xfId="0" applyFont="1" applyBorder="1" applyAlignment="1">
      <alignment horizontal="center"/>
    </xf>
    <xf numFmtId="0" fontId="27" fillId="0" borderId="201" xfId="0" applyFont="1" applyBorder="1" applyAlignment="1">
      <alignment horizontal="center"/>
    </xf>
    <xf numFmtId="0" fontId="27" fillId="0" borderId="202" xfId="0" applyFont="1" applyBorder="1" applyAlignment="1">
      <alignment horizontal="center"/>
    </xf>
    <xf numFmtId="0" fontId="27" fillId="0" borderId="203" xfId="0" applyFont="1" applyBorder="1" applyAlignment="1" applyProtection="1">
      <alignment horizontal="center" vertical="center" wrapText="1"/>
      <protection locked="0"/>
    </xf>
    <xf numFmtId="0" fontId="119" fillId="8" borderId="0" xfId="0" applyFont="1" applyFill="1" applyAlignment="1" applyProtection="1">
      <alignment vertical="center"/>
      <protection hidden="1"/>
    </xf>
    <xf numFmtId="0" fontId="27" fillId="0" borderId="212" xfId="0" applyFont="1" applyBorder="1" applyAlignment="1" applyProtection="1">
      <alignment horizontal="center" vertical="center"/>
      <protection locked="0"/>
    </xf>
    <xf numFmtId="0" fontId="27" fillId="0" borderId="213" xfId="0" applyFont="1" applyBorder="1" applyAlignment="1" applyProtection="1">
      <alignment horizontal="center" vertical="center"/>
      <protection locked="0"/>
    </xf>
    <xf numFmtId="14" fontId="27" fillId="0" borderId="201" xfId="0" applyNumberFormat="1" applyFont="1" applyBorder="1" applyAlignment="1">
      <alignment horizontal="center" vertical="center"/>
    </xf>
    <xf numFmtId="14" fontId="27" fillId="0" borderId="57" xfId="0" applyNumberFormat="1" applyFont="1" applyBorder="1" applyAlignment="1">
      <alignment horizontal="center" vertical="center"/>
    </xf>
    <xf numFmtId="0" fontId="27" fillId="0" borderId="0" xfId="0" applyFont="1" applyAlignment="1">
      <alignment vertical="center" wrapText="1"/>
    </xf>
    <xf numFmtId="14" fontId="27" fillId="0" borderId="205" xfId="0" applyNumberFormat="1" applyFont="1" applyBorder="1" applyAlignment="1">
      <alignment horizontal="center" vertical="center"/>
    </xf>
    <xf numFmtId="0" fontId="27" fillId="0" borderId="205" xfId="0" applyFont="1" applyBorder="1" applyAlignment="1" applyProtection="1">
      <alignment vertical="center" wrapText="1"/>
      <protection locked="0"/>
    </xf>
    <xf numFmtId="49" fontId="27" fillId="0" borderId="205" xfId="0" applyNumberFormat="1" applyFont="1" applyBorder="1" applyAlignment="1" applyProtection="1">
      <alignment horizontal="center" vertical="center" wrapText="1"/>
      <protection locked="0"/>
    </xf>
    <xf numFmtId="14" fontId="27" fillId="0" borderId="0" xfId="0" applyNumberFormat="1" applyFont="1" applyAlignment="1">
      <alignment horizontal="right" vertical="center"/>
    </xf>
    <xf numFmtId="14" fontId="27" fillId="0" borderId="0" xfId="0" applyNumberFormat="1" applyFont="1" applyAlignment="1">
      <alignment vertical="center"/>
    </xf>
    <xf numFmtId="0" fontId="27" fillId="0" borderId="214" xfId="0" applyFont="1" applyBorder="1" applyAlignment="1" applyProtection="1">
      <alignment vertical="center" wrapText="1"/>
      <protection locked="0"/>
    </xf>
    <xf numFmtId="14" fontId="27" fillId="0" borderId="214" xfId="0" applyNumberFormat="1" applyFont="1" applyBorder="1" applyAlignment="1" applyProtection="1">
      <alignment horizontal="center" vertical="center"/>
      <protection locked="0"/>
    </xf>
    <xf numFmtId="14" fontId="27" fillId="0" borderId="215" xfId="0" applyNumberFormat="1" applyFont="1" applyBorder="1" applyAlignment="1" applyProtection="1">
      <alignment horizontal="center" vertical="center"/>
      <protection locked="0"/>
    </xf>
    <xf numFmtId="0" fontId="27" fillId="0" borderId="215" xfId="0" applyFont="1" applyBorder="1" applyAlignment="1" applyProtection="1">
      <alignment vertical="center" wrapText="1"/>
      <protection locked="0"/>
    </xf>
    <xf numFmtId="169" fontId="27" fillId="0" borderId="205" xfId="0" applyNumberFormat="1" applyFont="1" applyBorder="1" applyAlignment="1">
      <alignment horizontal="center" vertical="center"/>
    </xf>
    <xf numFmtId="14" fontId="27" fillId="0" borderId="216" xfId="0" applyNumberFormat="1" applyFont="1" applyBorder="1" applyAlignment="1" applyProtection="1">
      <alignment horizontal="center" vertical="center"/>
      <protection locked="0"/>
    </xf>
    <xf numFmtId="0" fontId="27" fillId="0" borderId="217" xfId="0" applyFont="1" applyBorder="1" applyAlignment="1">
      <alignment vertical="center" wrapText="1"/>
    </xf>
    <xf numFmtId="0" fontId="27" fillId="0" borderId="218" xfId="0" applyFont="1" applyBorder="1" applyAlignment="1">
      <alignment vertical="center" wrapText="1"/>
    </xf>
    <xf numFmtId="14" fontId="27" fillId="0" borderId="214" xfId="0" applyNumberFormat="1" applyFont="1" applyBorder="1" applyAlignment="1" applyProtection="1">
      <alignment vertical="center" wrapText="1"/>
      <protection locked="0"/>
    </xf>
    <xf numFmtId="0" fontId="27" fillId="0" borderId="219" xfId="0" applyFont="1" applyBorder="1" applyAlignment="1">
      <alignment horizontal="center" vertical="center"/>
    </xf>
    <xf numFmtId="0" fontId="27" fillId="0" borderId="219" xfId="0" applyFont="1" applyBorder="1" applyAlignment="1" applyProtection="1">
      <alignment horizontal="center" vertical="center"/>
      <protection locked="0"/>
    </xf>
    <xf numFmtId="0" fontId="27" fillId="0" borderId="150" xfId="0" applyFont="1" applyBorder="1" applyAlignment="1" applyProtection="1">
      <alignment horizontal="center"/>
      <protection locked="0"/>
    </xf>
    <xf numFmtId="14" fontId="27" fillId="0" borderId="215" xfId="0" applyNumberFormat="1" applyFont="1" applyBorder="1" applyAlignment="1" applyProtection="1">
      <alignment vertical="center" wrapText="1"/>
      <protection locked="0"/>
    </xf>
    <xf numFmtId="0" fontId="27" fillId="0" borderId="215" xfId="0" applyFont="1" applyBorder="1" applyAlignment="1">
      <alignment horizontal="center" vertical="center"/>
    </xf>
    <xf numFmtId="0" fontId="27" fillId="0" borderId="215" xfId="0" applyFont="1" applyBorder="1" applyAlignment="1" applyProtection="1">
      <alignment horizontal="center" vertical="center"/>
      <protection locked="0"/>
    </xf>
    <xf numFmtId="0" fontId="36" fillId="0" borderId="0" xfId="1" applyFill="1" applyBorder="1" applyAlignment="1" applyProtection="1">
      <alignment vertical="center"/>
      <protection hidden="1"/>
    </xf>
    <xf numFmtId="0" fontId="100" fillId="0" borderId="68" xfId="0" applyFont="1" applyBorder="1" applyAlignment="1" applyProtection="1">
      <alignment horizontal="right" vertical="center"/>
      <protection hidden="1"/>
    </xf>
    <xf numFmtId="0" fontId="117" fillId="28" borderId="221" xfId="0" applyFont="1" applyFill="1" applyBorder="1" applyAlignment="1" applyProtection="1">
      <alignment horizontal="center" vertical="center"/>
      <protection locked="0"/>
    </xf>
    <xf numFmtId="0" fontId="155" fillId="0" borderId="0" xfId="1" applyFont="1" applyFill="1" applyBorder="1" applyAlignment="1">
      <alignment horizontal="center"/>
    </xf>
    <xf numFmtId="0" fontId="36" fillId="0" borderId="0" xfId="1" applyFill="1" applyBorder="1" applyAlignment="1" applyProtection="1">
      <alignment vertical="center"/>
      <protection locked="0"/>
    </xf>
    <xf numFmtId="0" fontId="100" fillId="0" borderId="0" xfId="0" applyFont="1" applyAlignment="1" applyProtection="1">
      <alignment horizontal="right" vertical="center"/>
      <protection hidden="1"/>
    </xf>
    <xf numFmtId="0" fontId="117" fillId="28" borderId="126" xfId="0" applyFont="1" applyFill="1" applyBorder="1" applyAlignment="1" applyProtection="1">
      <alignment horizontal="center" vertical="center"/>
      <protection locked="0"/>
    </xf>
    <xf numFmtId="49" fontId="55" fillId="0" borderId="0" xfId="0" applyNumberFormat="1" applyFont="1" applyAlignment="1" applyProtection="1">
      <alignment horizontal="center"/>
      <protection hidden="1"/>
    </xf>
    <xf numFmtId="0" fontId="154" fillId="0" borderId="0" xfId="1" applyFont="1" applyBorder="1" applyAlignment="1" applyProtection="1">
      <alignment vertical="center"/>
      <protection locked="0"/>
    </xf>
    <xf numFmtId="0" fontId="155" fillId="0" borderId="0" xfId="1" applyFont="1" applyFill="1" applyBorder="1" applyAlignment="1">
      <alignment horizontal="center" vertical="center"/>
    </xf>
    <xf numFmtId="0" fontId="27" fillId="0" borderId="14" xfId="0" applyFont="1" applyBorder="1" applyAlignment="1" applyProtection="1">
      <alignment vertical="center"/>
      <protection locked="0"/>
    </xf>
    <xf numFmtId="0" fontId="57" fillId="0" borderId="14" xfId="0" applyFont="1" applyBorder="1" applyAlignment="1" applyProtection="1">
      <alignment vertical="center"/>
      <protection locked="0"/>
    </xf>
    <xf numFmtId="14" fontId="27" fillId="28" borderId="222" xfId="0" applyNumberFormat="1" applyFont="1" applyFill="1" applyBorder="1" applyAlignment="1" applyProtection="1">
      <alignment horizontal="center" vertical="center"/>
      <protection locked="0"/>
    </xf>
    <xf numFmtId="0" fontId="27" fillId="28" borderId="222" xfId="0" applyFont="1" applyFill="1" applyBorder="1" applyAlignment="1" applyProtection="1">
      <alignment horizontal="center" vertical="center" wrapText="1"/>
      <protection locked="0"/>
    </xf>
    <xf numFmtId="14" fontId="27" fillId="4" borderId="223" xfId="0" applyNumberFormat="1" applyFont="1" applyFill="1" applyBorder="1" applyAlignment="1" applyProtection="1">
      <alignment horizontal="center" vertical="center"/>
      <protection locked="0"/>
    </xf>
    <xf numFmtId="14" fontId="0" fillId="4" borderId="199" xfId="0" applyNumberFormat="1" applyFill="1" applyBorder="1" applyAlignment="1" applyProtection="1">
      <alignment horizontal="center" vertical="center"/>
      <protection locked="0"/>
    </xf>
    <xf numFmtId="170" fontId="27" fillId="0" borderId="201" xfId="0" applyNumberFormat="1" applyFont="1" applyBorder="1" applyAlignment="1" applyProtection="1">
      <alignment horizontal="center"/>
      <protection hidden="1"/>
    </xf>
    <xf numFmtId="170" fontId="27" fillId="0" borderId="201" xfId="0" applyNumberFormat="1" applyFont="1" applyBorder="1" applyAlignment="1" applyProtection="1">
      <alignment horizontal="center" vertical="center" wrapText="1"/>
      <protection hidden="1"/>
    </xf>
    <xf numFmtId="170" fontId="27" fillId="20" borderId="201" xfId="0" applyNumberFormat="1" applyFont="1" applyFill="1" applyBorder="1" applyAlignment="1" applyProtection="1">
      <alignment horizontal="center" vertical="center" wrapText="1"/>
      <protection locked="0"/>
    </xf>
    <xf numFmtId="49" fontId="27" fillId="4" borderId="201" xfId="0" applyNumberFormat="1" applyFont="1" applyFill="1" applyBorder="1" applyAlignment="1" applyProtection="1">
      <alignment horizontal="center" vertical="center"/>
      <protection locked="0"/>
    </xf>
    <xf numFmtId="14" fontId="67" fillId="0" borderId="0" xfId="0" quotePrefix="1" applyNumberFormat="1" applyFont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horizontal="center" vertical="center" wrapText="1"/>
      <protection locked="0"/>
    </xf>
    <xf numFmtId="0" fontId="156" fillId="0" borderId="0" xfId="0" applyFont="1" applyAlignment="1">
      <alignment horizontal="center" vertical="center"/>
    </xf>
    <xf numFmtId="169" fontId="50" fillId="0" borderId="0" xfId="0" applyNumberFormat="1" applyFont="1" applyAlignment="1" applyProtection="1">
      <alignment horizontal="center" wrapText="1"/>
      <protection hidden="1"/>
    </xf>
    <xf numFmtId="0" fontId="50" fillId="0" borderId="0" xfId="0" applyFont="1" applyAlignment="1" applyProtection="1">
      <alignment horizontal="left"/>
      <protection locked="0"/>
    </xf>
    <xf numFmtId="0" fontId="135" fillId="0" borderId="0" xfId="0" applyFont="1" applyAlignment="1" applyProtection="1">
      <alignment horizontal="center" vertical="center"/>
      <protection locked="0"/>
    </xf>
    <xf numFmtId="14" fontId="50" fillId="0" borderId="0" xfId="0" applyNumberFormat="1" applyFont="1" applyAlignment="1" applyProtection="1">
      <alignment horizontal="center"/>
      <protection locked="0"/>
    </xf>
    <xf numFmtId="0" fontId="147" fillId="0" borderId="0" xfId="0" applyFont="1" applyAlignment="1" applyProtection="1">
      <alignment horizontal="center" vertical="center" wrapText="1"/>
      <protection hidden="1"/>
    </xf>
    <xf numFmtId="0" fontId="50" fillId="0" borderId="0" xfId="0" applyFont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 vertical="center"/>
      <protection hidden="1"/>
    </xf>
    <xf numFmtId="0" fontId="156" fillId="0" borderId="0" xfId="0" applyFont="1" applyAlignment="1" applyProtection="1">
      <alignment horizontal="center" vertical="center"/>
      <protection hidden="1"/>
    </xf>
    <xf numFmtId="0" fontId="146" fillId="0" borderId="0" xfId="0" applyFont="1" applyAlignment="1" applyProtection="1">
      <alignment horizontal="center" vertical="center"/>
      <protection hidden="1"/>
    </xf>
    <xf numFmtId="0" fontId="96" fillId="40" borderId="133" xfId="0" applyFont="1" applyFill="1" applyBorder="1" applyAlignment="1" applyProtection="1">
      <alignment horizontal="center" vertical="center"/>
      <protection hidden="1"/>
    </xf>
    <xf numFmtId="0" fontId="74" fillId="50" borderId="133" xfId="0" applyFont="1" applyFill="1" applyBorder="1" applyAlignment="1" applyProtection="1">
      <alignment horizontal="center" vertical="center"/>
      <protection hidden="1"/>
    </xf>
    <xf numFmtId="0" fontId="74" fillId="0" borderId="0" xfId="0" applyFont="1" applyAlignment="1" applyProtection="1">
      <alignment vertical="center"/>
      <protection hidden="1"/>
    </xf>
    <xf numFmtId="0" fontId="96" fillId="40" borderId="68" xfId="0" applyFont="1" applyFill="1" applyBorder="1" applyAlignment="1" applyProtection="1">
      <alignment horizontal="center" vertical="center"/>
      <protection hidden="1"/>
    </xf>
    <xf numFmtId="0" fontId="74" fillId="50" borderId="68" xfId="0" applyFont="1" applyFill="1" applyBorder="1" applyAlignment="1" applyProtection="1">
      <alignment horizontal="center" vertical="center"/>
      <protection hidden="1"/>
    </xf>
    <xf numFmtId="0" fontId="96" fillId="0" borderId="224" xfId="0" applyFont="1" applyBorder="1" applyAlignment="1" applyProtection="1">
      <alignment horizontal="center" vertical="center"/>
      <protection hidden="1"/>
    </xf>
    <xf numFmtId="0" fontId="135" fillId="28" borderId="68" xfId="0" applyFont="1" applyFill="1" applyBorder="1" applyAlignment="1" applyProtection="1">
      <alignment horizontal="center" vertical="center"/>
      <protection locked="0"/>
    </xf>
    <xf numFmtId="0" fontId="96" fillId="0" borderId="42" xfId="0" applyFont="1" applyBorder="1" applyAlignment="1" applyProtection="1">
      <alignment horizontal="center" vertical="center"/>
      <protection hidden="1"/>
    </xf>
    <xf numFmtId="0" fontId="158" fillId="0" borderId="0" xfId="0" applyFont="1" applyAlignment="1" applyProtection="1">
      <alignment horizontal="center" vertical="center" wrapText="1"/>
      <protection hidden="1"/>
    </xf>
    <xf numFmtId="0" fontId="27" fillId="0" borderId="98" xfId="0" applyFont="1" applyBorder="1" applyAlignment="1" applyProtection="1">
      <alignment horizontal="center" vertical="center"/>
      <protection hidden="1"/>
    </xf>
    <xf numFmtId="0" fontId="50" fillId="48" borderId="129" xfId="0" applyFont="1" applyFill="1" applyBorder="1" applyAlignment="1" applyProtection="1">
      <alignment horizontal="center" vertical="center"/>
      <protection hidden="1"/>
    </xf>
    <xf numFmtId="0" fontId="50" fillId="48" borderId="231" xfId="0" applyFont="1" applyFill="1" applyBorder="1" applyAlignment="1" applyProtection="1">
      <alignment horizontal="center" vertical="center"/>
      <protection hidden="1"/>
    </xf>
    <xf numFmtId="170" fontId="74" fillId="0" borderId="72" xfId="0" applyNumberFormat="1" applyFont="1" applyBorder="1" applyAlignment="1" applyProtection="1">
      <alignment horizontal="center" vertical="center"/>
      <protection hidden="1"/>
    </xf>
    <xf numFmtId="0" fontId="74" fillId="50" borderId="224" xfId="0" applyFont="1" applyFill="1" applyBorder="1" applyAlignment="1" applyProtection="1">
      <alignment horizontal="center" vertical="center"/>
      <protection hidden="1"/>
    </xf>
    <xf numFmtId="170" fontId="74" fillId="0" borderId="0" xfId="0" applyNumberFormat="1" applyFont="1" applyAlignment="1" applyProtection="1">
      <alignment horizontal="center" vertical="center"/>
      <protection hidden="1"/>
    </xf>
    <xf numFmtId="0" fontId="96" fillId="0" borderId="185" xfId="0" applyFont="1" applyBorder="1" applyAlignment="1" applyProtection="1">
      <alignment horizontal="center" vertical="center"/>
      <protection hidden="1"/>
    </xf>
    <xf numFmtId="0" fontId="74" fillId="50" borderId="42" xfId="0" applyFont="1" applyFill="1" applyBorder="1" applyAlignment="1" applyProtection="1">
      <alignment horizontal="center" vertical="center"/>
      <protection hidden="1"/>
    </xf>
    <xf numFmtId="0" fontId="135" fillId="0" borderId="0" xfId="0" applyFont="1" applyAlignment="1" applyProtection="1">
      <alignment vertical="center" wrapText="1"/>
      <protection hidden="1"/>
    </xf>
    <xf numFmtId="0" fontId="54" fillId="0" borderId="0" xfId="0" applyFont="1" applyProtection="1">
      <protection hidden="1"/>
    </xf>
    <xf numFmtId="170" fontId="96" fillId="0" borderId="0" xfId="0" applyNumberFormat="1" applyFont="1" applyAlignment="1" applyProtection="1">
      <alignment horizontal="center" vertical="center"/>
      <protection hidden="1"/>
    </xf>
    <xf numFmtId="0" fontId="158" fillId="0" borderId="0" xfId="0" applyFont="1" applyAlignment="1" applyProtection="1">
      <alignment vertical="center" wrapText="1"/>
      <protection hidden="1"/>
    </xf>
    <xf numFmtId="0" fontId="74" fillId="50" borderId="185" xfId="0" applyFont="1" applyFill="1" applyBorder="1" applyAlignment="1" applyProtection="1">
      <alignment horizontal="center" vertical="center"/>
      <protection hidden="1"/>
    </xf>
    <xf numFmtId="0" fontId="96" fillId="45" borderId="98" xfId="0" applyFont="1" applyFill="1" applyBorder="1" applyAlignment="1" applyProtection="1">
      <alignment horizontal="center" vertical="center"/>
      <protection hidden="1"/>
    </xf>
    <xf numFmtId="0" fontId="96" fillId="45" borderId="129" xfId="0" applyFont="1" applyFill="1" applyBorder="1" applyAlignment="1" applyProtection="1">
      <alignment horizontal="center" vertical="center"/>
      <protection locked="0"/>
    </xf>
    <xf numFmtId="0" fontId="96" fillId="45" borderId="231" xfId="0" applyFont="1" applyFill="1" applyBorder="1" applyAlignment="1" applyProtection="1">
      <alignment horizontal="center" vertical="center"/>
      <protection locked="0"/>
    </xf>
    <xf numFmtId="170" fontId="55" fillId="0" borderId="234" xfId="0" applyNumberFormat="1" applyFont="1" applyBorder="1" applyAlignment="1" applyProtection="1">
      <alignment horizontal="center" vertical="center"/>
      <protection hidden="1"/>
    </xf>
    <xf numFmtId="0" fontId="158" fillId="0" borderId="0" xfId="0" applyFont="1" applyAlignment="1" applyProtection="1">
      <alignment horizontal="left" vertical="center" wrapText="1"/>
      <protection hidden="1"/>
    </xf>
    <xf numFmtId="170" fontId="50" fillId="0" borderId="0" xfId="0" applyNumberFormat="1" applyFont="1" applyAlignment="1" applyProtection="1">
      <alignment horizontal="center" vertical="center"/>
      <protection hidden="1"/>
    </xf>
    <xf numFmtId="0" fontId="50" fillId="41" borderId="133" xfId="0" applyFont="1" applyFill="1" applyBorder="1" applyAlignment="1" applyProtection="1">
      <alignment horizontal="center" vertical="center" wrapText="1"/>
      <protection hidden="1"/>
    </xf>
    <xf numFmtId="0" fontId="74" fillId="50" borderId="235" xfId="0" applyFont="1" applyFill="1" applyBorder="1" applyAlignment="1" applyProtection="1">
      <alignment horizontal="center" vertical="center"/>
      <protection hidden="1"/>
    </xf>
    <xf numFmtId="0" fontId="57" fillId="0" borderId="0" xfId="0" applyFont="1" applyAlignment="1" applyProtection="1">
      <alignment vertical="center" wrapText="1"/>
      <protection hidden="1"/>
    </xf>
    <xf numFmtId="0" fontId="135" fillId="0" borderId="0" xfId="0" applyFont="1" applyAlignment="1" applyProtection="1">
      <alignment horizontal="left"/>
      <protection hidden="1"/>
    </xf>
    <xf numFmtId="0" fontId="27" fillId="31" borderId="68" xfId="0" applyFont="1" applyFill="1" applyBorder="1" applyAlignment="1" applyProtection="1">
      <alignment horizontal="center" vertical="center"/>
      <protection locked="0"/>
    </xf>
    <xf numFmtId="170" fontId="55" fillId="0" borderId="0" xfId="0" applyNumberFormat="1" applyFont="1" applyAlignment="1" applyProtection="1">
      <alignment horizontal="center" vertical="center"/>
      <protection hidden="1"/>
    </xf>
    <xf numFmtId="170" fontId="50" fillId="41" borderId="235" xfId="0" applyNumberFormat="1" applyFont="1" applyFill="1" applyBorder="1" applyAlignment="1" applyProtection="1">
      <alignment horizontal="center" vertical="center"/>
      <protection hidden="1"/>
    </xf>
    <xf numFmtId="170" fontId="50" fillId="51" borderId="224" xfId="0" applyNumberFormat="1" applyFont="1" applyFill="1" applyBorder="1" applyAlignment="1" applyProtection="1">
      <alignment horizontal="center" vertical="center"/>
      <protection locked="0"/>
    </xf>
    <xf numFmtId="170" fontId="50" fillId="51" borderId="244" xfId="0" applyNumberFormat="1" applyFont="1" applyFill="1" applyBorder="1" applyAlignment="1" applyProtection="1">
      <alignment horizontal="center" vertical="center"/>
      <protection locked="0"/>
    </xf>
    <xf numFmtId="170" fontId="50" fillId="51" borderId="185" xfId="0" applyNumberFormat="1" applyFont="1" applyFill="1" applyBorder="1" applyAlignment="1" applyProtection="1">
      <alignment horizontal="center" vertical="center"/>
      <protection locked="0"/>
    </xf>
    <xf numFmtId="49" fontId="27" fillId="28" borderId="5" xfId="0" applyNumberFormat="1" applyFont="1" applyFill="1" applyBorder="1" applyAlignment="1" applyProtection="1">
      <alignment horizontal="center" vertical="center"/>
      <protection hidden="1"/>
    </xf>
    <xf numFmtId="49" fontId="27" fillId="28" borderId="201" xfId="0" applyNumberFormat="1" applyFont="1" applyFill="1" applyBorder="1" applyAlignment="1" applyProtection="1">
      <alignment horizontal="center" vertical="center"/>
      <protection hidden="1"/>
    </xf>
    <xf numFmtId="0" fontId="27" fillId="0" borderId="245" xfId="0" applyFont="1" applyBorder="1" applyAlignment="1" applyProtection="1">
      <alignment horizontal="center"/>
      <protection hidden="1"/>
    </xf>
    <xf numFmtId="0" fontId="27" fillId="0" borderId="246" xfId="0" applyFont="1" applyBorder="1" applyAlignment="1" applyProtection="1">
      <alignment horizontal="center"/>
      <protection hidden="1"/>
    </xf>
    <xf numFmtId="49" fontId="27" fillId="0" borderId="245" xfId="0" applyNumberFormat="1" applyFont="1" applyBorder="1" applyAlignment="1" applyProtection="1">
      <alignment horizontal="center"/>
      <protection hidden="1"/>
    </xf>
    <xf numFmtId="170" fontId="27" fillId="0" borderId="5" xfId="0" applyNumberFormat="1" applyFont="1" applyBorder="1" applyAlignment="1" applyProtection="1">
      <alignment horizontal="center" vertical="center" wrapText="1"/>
      <protection hidden="1"/>
    </xf>
    <xf numFmtId="0" fontId="27" fillId="0" borderId="53" xfId="0" applyFont="1" applyBorder="1" applyAlignment="1" applyProtection="1">
      <alignment vertical="center" wrapText="1"/>
      <protection hidden="1"/>
    </xf>
    <xf numFmtId="170" fontId="27" fillId="20" borderId="249" xfId="0" applyNumberFormat="1" applyFont="1" applyFill="1" applyBorder="1" applyAlignment="1" applyProtection="1">
      <alignment horizontal="center" vertical="center" wrapText="1"/>
      <protection locked="0"/>
    </xf>
    <xf numFmtId="49" fontId="27" fillId="4" borderId="249" xfId="0" applyNumberFormat="1" applyFont="1" applyFill="1" applyBorder="1" applyAlignment="1" applyProtection="1">
      <alignment horizontal="center" vertical="center"/>
      <protection locked="0"/>
    </xf>
    <xf numFmtId="49" fontId="27" fillId="4" borderId="250" xfId="0" applyNumberFormat="1" applyFont="1" applyFill="1" applyBorder="1" applyAlignment="1" applyProtection="1">
      <alignment horizontal="center" vertical="center"/>
      <protection locked="0"/>
    </xf>
    <xf numFmtId="0" fontId="27" fillId="0" borderId="10" xfId="0" applyFont="1" applyBorder="1" applyAlignment="1" applyProtection="1">
      <alignment horizontal="center" vertical="center" wrapText="1"/>
      <protection hidden="1"/>
    </xf>
    <xf numFmtId="186" fontId="159" fillId="0" borderId="108" xfId="0" applyNumberFormat="1" applyFont="1" applyBorder="1" applyAlignment="1" applyProtection="1">
      <alignment horizontal="center" vertical="center"/>
      <protection hidden="1"/>
    </xf>
    <xf numFmtId="186" fontId="159" fillId="0" borderId="109" xfId="0" applyNumberFormat="1" applyFont="1" applyBorder="1" applyAlignment="1" applyProtection="1">
      <alignment horizontal="center" vertical="center"/>
      <protection hidden="1"/>
    </xf>
    <xf numFmtId="0" fontId="160" fillId="0" borderId="134" xfId="0" applyFont="1" applyBorder="1" applyAlignment="1" applyProtection="1">
      <alignment horizontal="center" vertical="center"/>
      <protection hidden="1"/>
    </xf>
    <xf numFmtId="186" fontId="159" fillId="0" borderId="251" xfId="0" applyNumberFormat="1" applyFont="1" applyBorder="1" applyAlignment="1" applyProtection="1">
      <alignment horizontal="center" vertical="center"/>
      <protection hidden="1"/>
    </xf>
    <xf numFmtId="49" fontId="67" fillId="26" borderId="0" xfId="0" applyNumberFormat="1" applyFont="1" applyFill="1" applyAlignment="1" applyProtection="1">
      <alignment horizontal="left"/>
      <protection hidden="1"/>
    </xf>
    <xf numFmtId="170" fontId="27" fillId="20" borderId="252" xfId="0" applyNumberFormat="1" applyFont="1" applyFill="1" applyBorder="1" applyAlignment="1" applyProtection="1">
      <alignment horizontal="center" vertical="center" wrapText="1"/>
      <protection locked="0"/>
    </xf>
    <xf numFmtId="170" fontId="27" fillId="20" borderId="253" xfId="0" applyNumberFormat="1" applyFont="1" applyFill="1" applyBorder="1" applyAlignment="1" applyProtection="1">
      <alignment horizontal="center" vertical="center" wrapText="1"/>
      <protection locked="0"/>
    </xf>
    <xf numFmtId="170" fontId="27" fillId="20" borderId="255" xfId="0" applyNumberFormat="1" applyFont="1" applyFill="1" applyBorder="1" applyAlignment="1" applyProtection="1">
      <alignment horizontal="center" vertical="center" wrapText="1"/>
      <protection locked="0"/>
    </xf>
    <xf numFmtId="14" fontId="57" fillId="28" borderId="256" xfId="0" applyNumberFormat="1" applyFont="1" applyFill="1" applyBorder="1" applyAlignment="1" applyProtection="1">
      <alignment horizontal="center" vertical="center"/>
      <protection locked="0"/>
    </xf>
    <xf numFmtId="0" fontId="57" fillId="0" borderId="256" xfId="0" applyFont="1" applyBorder="1" applyAlignment="1" applyProtection="1">
      <alignment horizontal="center" vertical="center"/>
      <protection hidden="1"/>
    </xf>
    <xf numFmtId="0" fontId="163" fillId="0" borderId="0" xfId="0" applyFont="1" applyAlignment="1" applyProtection="1">
      <alignment horizontal="center" vertical="center"/>
      <protection hidden="1"/>
    </xf>
    <xf numFmtId="0" fontId="96" fillId="19" borderId="0" xfId="0" applyFont="1" applyFill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47" xfId="0" applyBorder="1" applyAlignment="1" applyProtection="1">
      <alignment horizontal="left"/>
      <protection hidden="1"/>
    </xf>
    <xf numFmtId="0" fontId="0" fillId="0" borderId="147" xfId="0" applyBorder="1" applyAlignment="1" applyProtection="1">
      <alignment horizontal="left"/>
      <protection hidden="1"/>
    </xf>
    <xf numFmtId="0" fontId="0" fillId="0" borderId="69" xfId="0" applyBorder="1" applyAlignment="1" applyProtection="1">
      <alignment horizontal="left"/>
      <protection hidden="1"/>
    </xf>
    <xf numFmtId="0" fontId="0" fillId="0" borderId="169" xfId="0" applyBorder="1" applyAlignment="1" applyProtection="1">
      <alignment horizontal="left"/>
      <protection hidden="1"/>
    </xf>
    <xf numFmtId="0" fontId="0" fillId="45" borderId="171" xfId="0" applyFill="1" applyBorder="1" applyAlignment="1" applyProtection="1">
      <alignment horizontal="left"/>
      <protection locked="0"/>
    </xf>
    <xf numFmtId="0" fontId="0" fillId="45" borderId="92" xfId="0" applyFill="1" applyBorder="1" applyAlignment="1" applyProtection="1">
      <alignment horizontal="left"/>
      <protection locked="0"/>
    </xf>
    <xf numFmtId="0" fontId="0" fillId="45" borderId="147" xfId="0" applyFill="1" applyBorder="1" applyAlignment="1" applyProtection="1">
      <alignment horizontal="left"/>
      <protection locked="0"/>
    </xf>
    <xf numFmtId="0" fontId="0" fillId="0" borderId="92" xfId="0" applyBorder="1" applyAlignment="1" applyProtection="1">
      <alignment horizontal="left"/>
      <protection hidden="1"/>
    </xf>
    <xf numFmtId="0" fontId="0" fillId="0" borderId="93" xfId="0" applyBorder="1" applyAlignment="1" applyProtection="1">
      <alignment horizontal="left"/>
      <protection hidden="1"/>
    </xf>
    <xf numFmtId="170" fontId="146" fillId="0" borderId="232" xfId="0" applyNumberFormat="1" applyFont="1" applyBorder="1" applyAlignment="1" applyProtection="1">
      <alignment horizontal="center" vertical="center"/>
      <protection hidden="1"/>
    </xf>
    <xf numFmtId="170" fontId="146" fillId="0" borderId="233" xfId="0" applyNumberFormat="1" applyFont="1" applyBorder="1" applyAlignment="1" applyProtection="1">
      <alignment horizontal="center" vertical="center"/>
      <protection hidden="1"/>
    </xf>
    <xf numFmtId="0" fontId="162" fillId="0" borderId="98" xfId="0" applyFont="1" applyBorder="1" applyAlignment="1" applyProtection="1">
      <alignment horizontal="center" vertical="center" wrapText="1"/>
      <protection hidden="1"/>
    </xf>
    <xf numFmtId="0" fontId="162" fillId="0" borderId="134" xfId="0" applyFont="1" applyBorder="1" applyAlignment="1" applyProtection="1">
      <alignment horizontal="center" vertical="center" wrapText="1"/>
      <protection hidden="1"/>
    </xf>
    <xf numFmtId="0" fontId="163" fillId="28" borderId="224" xfId="0" applyFont="1" applyFill="1" applyBorder="1" applyAlignment="1" applyProtection="1">
      <alignment horizontal="center" vertical="center" wrapText="1"/>
      <protection locked="0"/>
    </xf>
    <xf numFmtId="0" fontId="163" fillId="28" borderId="68" xfId="0" applyFont="1" applyFill="1" applyBorder="1" applyAlignment="1" applyProtection="1">
      <alignment horizontal="center" vertical="center"/>
      <protection locked="0"/>
    </xf>
    <xf numFmtId="14" fontId="146" fillId="28" borderId="183" xfId="0" applyNumberFormat="1" applyFont="1" applyFill="1" applyBorder="1" applyAlignment="1" applyProtection="1">
      <alignment horizontal="center" vertical="center" wrapText="1"/>
      <protection locked="0"/>
    </xf>
    <xf numFmtId="14" fontId="146" fillId="28" borderId="184" xfId="0" applyNumberFormat="1" applyFont="1" applyFill="1" applyBorder="1" applyAlignment="1" applyProtection="1">
      <alignment horizontal="center" vertical="center" wrapText="1"/>
      <protection locked="0"/>
    </xf>
    <xf numFmtId="0" fontId="146" fillId="28" borderId="184" xfId="0" applyFont="1" applyFill="1" applyBorder="1" applyAlignment="1" applyProtection="1">
      <alignment horizontal="center" vertical="center" wrapText="1"/>
      <protection locked="0"/>
    </xf>
    <xf numFmtId="0" fontId="146" fillId="28" borderId="185" xfId="0" applyFont="1" applyFill="1" applyBorder="1" applyAlignment="1" applyProtection="1">
      <alignment horizontal="center" vertical="center" wrapText="1"/>
      <protection locked="0"/>
    </xf>
    <xf numFmtId="14" fontId="146" fillId="28" borderId="185" xfId="0" applyNumberFormat="1" applyFont="1" applyFill="1" applyBorder="1" applyAlignment="1" applyProtection="1">
      <alignment horizontal="center" vertical="center" wrapText="1"/>
      <protection locked="0"/>
    </xf>
    <xf numFmtId="14" fontId="137" fillId="19" borderId="184" xfId="0" applyNumberFormat="1" applyFont="1" applyFill="1" applyBorder="1" applyAlignment="1" applyProtection="1">
      <alignment horizontal="center" vertical="center" wrapText="1"/>
      <protection hidden="1"/>
    </xf>
    <xf numFmtId="0" fontId="164" fillId="28" borderId="52" xfId="0" applyFont="1" applyFill="1" applyBorder="1" applyAlignment="1" applyProtection="1">
      <alignment horizontal="center" vertical="center" wrapText="1"/>
      <protection hidden="1"/>
    </xf>
    <xf numFmtId="49" fontId="47" fillId="28" borderId="52" xfId="0" applyNumberFormat="1" applyFont="1" applyFill="1" applyBorder="1" applyAlignment="1" applyProtection="1">
      <alignment horizontal="center" vertical="center" wrapText="1"/>
      <protection hidden="1"/>
    </xf>
    <xf numFmtId="49" fontId="47" fillId="28" borderId="91" xfId="0" applyNumberFormat="1" applyFont="1" applyFill="1" applyBorder="1" applyAlignment="1" applyProtection="1">
      <alignment horizontal="center" vertical="center" wrapText="1"/>
      <protection hidden="1"/>
    </xf>
    <xf numFmtId="49" fontId="47" fillId="4" borderId="91" xfId="0" applyNumberFormat="1" applyFont="1" applyFill="1" applyBorder="1" applyAlignment="1" applyProtection="1">
      <alignment horizontal="center" vertical="center" wrapText="1"/>
      <protection locked="0"/>
    </xf>
    <xf numFmtId="49" fontId="47" fillId="4" borderId="249" xfId="0" applyNumberFormat="1" applyFont="1" applyFill="1" applyBorder="1" applyAlignment="1" applyProtection="1">
      <alignment horizontal="center" vertical="center" wrapText="1"/>
      <protection locked="0"/>
    </xf>
    <xf numFmtId="49" fontId="47" fillId="4" borderId="52" xfId="0" applyNumberFormat="1" applyFont="1" applyFill="1" applyBorder="1" applyAlignment="1" applyProtection="1">
      <alignment horizontal="center" vertical="center" wrapText="1"/>
      <protection locked="0"/>
    </xf>
    <xf numFmtId="49" fontId="47" fillId="4" borderId="48" xfId="0" applyNumberFormat="1" applyFont="1" applyFill="1" applyBorder="1" applyAlignment="1" applyProtection="1">
      <alignment horizontal="center" vertical="center" wrapText="1"/>
      <protection locked="0"/>
    </xf>
    <xf numFmtId="0" fontId="47" fillId="28" borderId="48" xfId="0" applyFont="1" applyFill="1" applyBorder="1" applyAlignment="1" applyProtection="1">
      <alignment horizontal="center" vertical="center" wrapText="1"/>
      <protection locked="0"/>
    </xf>
    <xf numFmtId="49" fontId="47" fillId="4" borderId="22" xfId="0" applyNumberFormat="1" applyFont="1" applyFill="1" applyBorder="1" applyAlignment="1" applyProtection="1">
      <alignment horizontal="center" vertical="center" wrapText="1"/>
      <protection locked="0"/>
    </xf>
    <xf numFmtId="49" fontId="47" fillId="4" borderId="88" xfId="0" applyNumberFormat="1" applyFont="1" applyFill="1" applyBorder="1" applyAlignment="1" applyProtection="1">
      <alignment horizontal="center" vertical="center" wrapText="1"/>
      <protection locked="0"/>
    </xf>
    <xf numFmtId="49" fontId="47" fillId="4" borderId="89" xfId="0" applyNumberFormat="1" applyFont="1" applyFill="1" applyBorder="1" applyAlignment="1" applyProtection="1">
      <alignment horizontal="center" vertical="center" wrapText="1"/>
      <protection locked="0"/>
    </xf>
    <xf numFmtId="49" fontId="47" fillId="4" borderId="5" xfId="0" applyNumberFormat="1" applyFont="1" applyFill="1" applyBorder="1" applyAlignment="1" applyProtection="1">
      <alignment horizontal="center" vertical="center"/>
      <protection locked="0"/>
    </xf>
    <xf numFmtId="49" fontId="47" fillId="4" borderId="20" xfId="0" applyNumberFormat="1" applyFont="1" applyFill="1" applyBorder="1" applyAlignment="1" applyProtection="1">
      <alignment horizontal="center" vertical="center"/>
      <protection locked="0"/>
    </xf>
    <xf numFmtId="49" fontId="47" fillId="4" borderId="51" xfId="0" applyNumberFormat="1" applyFont="1" applyFill="1" applyBorder="1" applyAlignment="1" applyProtection="1">
      <alignment horizontal="center" vertical="center"/>
      <protection locked="0"/>
    </xf>
    <xf numFmtId="49" fontId="47" fillId="4" borderId="250" xfId="0" applyNumberFormat="1" applyFont="1" applyFill="1" applyBorder="1" applyAlignment="1" applyProtection="1">
      <alignment horizontal="center" vertical="center"/>
      <protection locked="0"/>
    </xf>
    <xf numFmtId="49" fontId="47" fillId="4" borderId="20" xfId="0" applyNumberFormat="1" applyFont="1" applyFill="1" applyBorder="1" applyAlignment="1" applyProtection="1">
      <alignment horizontal="center"/>
      <protection locked="0"/>
    </xf>
    <xf numFmtId="49" fontId="47" fillId="4" borderId="87" xfId="0" applyNumberFormat="1" applyFont="1" applyFill="1" applyBorder="1" applyAlignment="1" applyProtection="1">
      <alignment horizontal="center"/>
      <protection locked="0"/>
    </xf>
    <xf numFmtId="49" fontId="47" fillId="4" borderId="5" xfId="0" applyNumberFormat="1" applyFont="1" applyFill="1" applyBorder="1" applyAlignment="1" applyProtection="1">
      <alignment horizontal="center"/>
      <protection locked="0"/>
    </xf>
    <xf numFmtId="49" fontId="47" fillId="4" borderId="85" xfId="0" applyNumberFormat="1" applyFont="1" applyFill="1" applyBorder="1" applyAlignment="1" applyProtection="1">
      <alignment horizontal="center"/>
      <protection locked="0"/>
    </xf>
    <xf numFmtId="49" fontId="47" fillId="4" borderId="86" xfId="0" applyNumberFormat="1" applyFont="1" applyFill="1" applyBorder="1" applyAlignment="1" applyProtection="1">
      <alignment horizontal="center"/>
      <protection locked="0"/>
    </xf>
    <xf numFmtId="14" fontId="47" fillId="15" borderId="91" xfId="0" applyNumberFormat="1" applyFont="1" applyFill="1" applyBorder="1" applyAlignment="1" applyProtection="1">
      <alignment horizontal="center" vertical="center" wrapText="1"/>
      <protection locked="0"/>
    </xf>
    <xf numFmtId="0" fontId="47" fillId="15" borderId="91" xfId="0" applyFont="1" applyFill="1" applyBorder="1" applyAlignment="1" applyProtection="1">
      <alignment horizontal="center" vertical="center" wrapText="1"/>
      <protection locked="0"/>
    </xf>
    <xf numFmtId="49" fontId="47" fillId="15" borderId="91" xfId="0" applyNumberFormat="1" applyFont="1" applyFill="1" applyBorder="1" applyAlignment="1" applyProtection="1">
      <alignment horizontal="center" vertical="center" wrapText="1"/>
      <protection locked="0"/>
    </xf>
    <xf numFmtId="0" fontId="47" fillId="4" borderId="52" xfId="0" applyFont="1" applyFill="1" applyBorder="1" applyAlignment="1" applyProtection="1">
      <alignment horizontal="center" vertical="center" wrapText="1"/>
      <protection locked="0"/>
    </xf>
    <xf numFmtId="0" fontId="47" fillId="4" borderId="91" xfId="0" applyFont="1" applyFill="1" applyBorder="1" applyAlignment="1" applyProtection="1">
      <alignment horizontal="center" vertical="center" wrapText="1"/>
      <protection locked="0"/>
    </xf>
    <xf numFmtId="49" fontId="47" fillId="0" borderId="0" xfId="0" applyNumberFormat="1" applyFont="1" applyAlignment="1" applyProtection="1">
      <alignment horizontal="center" vertical="center" wrapText="1"/>
      <protection locked="0"/>
    </xf>
    <xf numFmtId="0" fontId="47" fillId="0" borderId="214" xfId="0" applyFont="1" applyBorder="1" applyAlignment="1" applyProtection="1">
      <alignment vertical="center" wrapText="1"/>
      <protection locked="0"/>
    </xf>
    <xf numFmtId="0" fontId="47" fillId="4" borderId="49" xfId="0" applyFont="1" applyFill="1" applyBorder="1" applyAlignment="1" applyProtection="1">
      <alignment horizontal="center" vertical="center"/>
      <protection locked="0"/>
    </xf>
    <xf numFmtId="0" fontId="47" fillId="15" borderId="48" xfId="0" applyFont="1" applyFill="1" applyBorder="1" applyAlignment="1" applyProtection="1">
      <alignment horizontal="center" vertical="center"/>
      <protection locked="0"/>
    </xf>
    <xf numFmtId="0" fontId="47" fillId="15" borderId="48" xfId="0" applyFont="1" applyFill="1" applyBorder="1" applyAlignment="1" applyProtection="1">
      <alignment horizontal="center" vertical="center" wrapText="1"/>
      <protection locked="0"/>
    </xf>
    <xf numFmtId="0" fontId="47" fillId="4" borderId="48" xfId="0" applyFont="1" applyFill="1" applyBorder="1" applyAlignment="1" applyProtection="1">
      <alignment horizontal="center" vertical="center" wrapText="1"/>
      <protection locked="0"/>
    </xf>
    <xf numFmtId="0" fontId="47" fillId="4" borderId="48" xfId="0" applyFont="1" applyFill="1" applyBorder="1" applyAlignment="1" applyProtection="1">
      <alignment horizontal="center" vertical="center"/>
      <protection locked="0"/>
    </xf>
    <xf numFmtId="0" fontId="47" fillId="4" borderId="6" xfId="0" applyFont="1" applyFill="1" applyBorder="1" applyAlignment="1" applyProtection="1">
      <alignment horizontal="center" vertical="center"/>
      <protection locked="0"/>
    </xf>
    <xf numFmtId="0" fontId="47" fillId="4" borderId="22" xfId="0" applyFont="1" applyFill="1" applyBorder="1" applyAlignment="1" applyProtection="1">
      <alignment horizontal="center" vertical="center" wrapText="1"/>
      <protection locked="0"/>
    </xf>
    <xf numFmtId="0" fontId="47" fillId="4" borderId="6" xfId="0" applyFont="1" applyFill="1" applyBorder="1" applyAlignment="1" applyProtection="1">
      <alignment horizontal="center" vertical="center" wrapText="1"/>
      <protection locked="0"/>
    </xf>
    <xf numFmtId="0" fontId="47" fillId="4" borderId="89" xfId="0" applyFont="1" applyFill="1" applyBorder="1" applyAlignment="1" applyProtection="1">
      <alignment horizontal="center" vertical="center"/>
      <protection locked="0"/>
    </xf>
    <xf numFmtId="0" fontId="47" fillId="4" borderId="12" xfId="0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Alignment="1" applyProtection="1">
      <alignment horizontal="center" vertical="center"/>
      <protection locked="0"/>
    </xf>
    <xf numFmtId="0" fontId="0" fillId="4" borderId="89" xfId="0" applyFill="1" applyBorder="1" applyAlignment="1" applyProtection="1">
      <alignment horizontal="center" vertical="center"/>
      <protection locked="0"/>
    </xf>
    <xf numFmtId="0" fontId="15" fillId="53" borderId="0" xfId="0" applyFont="1" applyFill="1" applyAlignment="1" applyProtection="1">
      <alignment horizontal="center" vertical="center"/>
      <protection hidden="1"/>
    </xf>
    <xf numFmtId="0" fontId="165" fillId="53" borderId="0" xfId="0" applyFont="1" applyFill="1" applyAlignment="1" applyProtection="1">
      <alignment horizontal="center" vertical="center"/>
      <protection hidden="1"/>
    </xf>
    <xf numFmtId="14" fontId="4" fillId="53" borderId="0" xfId="0" applyNumberFormat="1" applyFont="1" applyFill="1" applyAlignment="1" applyProtection="1">
      <alignment vertical="center"/>
      <protection hidden="1"/>
    </xf>
    <xf numFmtId="0" fontId="4" fillId="53" borderId="0" xfId="0" applyFont="1" applyFill="1" applyAlignment="1" applyProtection="1">
      <alignment vertical="center"/>
      <protection hidden="1"/>
    </xf>
    <xf numFmtId="0" fontId="29" fillId="53" borderId="0" xfId="0" applyFont="1" applyFill="1" applyAlignment="1" applyProtection="1">
      <alignment horizontal="right" vertical="center"/>
      <protection hidden="1"/>
    </xf>
    <xf numFmtId="0" fontId="12" fillId="53" borderId="0" xfId="0" applyFont="1" applyFill="1" applyAlignment="1" applyProtection="1">
      <alignment vertical="center"/>
      <protection hidden="1"/>
    </xf>
    <xf numFmtId="176" fontId="130" fillId="16" borderId="263" xfId="0" applyNumberFormat="1" applyFont="1" applyFill="1" applyBorder="1" applyAlignment="1" applyProtection="1">
      <alignment horizontal="center" vertical="center"/>
      <protection hidden="1"/>
    </xf>
    <xf numFmtId="0" fontId="146" fillId="0" borderId="0" xfId="0" applyFont="1" applyAlignment="1" applyProtection="1">
      <alignment horizontal="center"/>
      <protection hidden="1"/>
    </xf>
    <xf numFmtId="14" fontId="146" fillId="0" borderId="0" xfId="0" applyNumberFormat="1" applyFont="1" applyAlignment="1" applyProtection="1">
      <alignment horizontal="center" vertical="center"/>
      <protection hidden="1"/>
    </xf>
    <xf numFmtId="0" fontId="137" fillId="0" borderId="3" xfId="0" applyFont="1" applyBorder="1" applyAlignment="1" applyProtection="1">
      <alignment vertical="center"/>
      <protection hidden="1"/>
    </xf>
    <xf numFmtId="0" fontId="167" fillId="0" borderId="0" xfId="0" applyFont="1" applyProtection="1">
      <protection hidden="1"/>
    </xf>
    <xf numFmtId="0" fontId="135" fillId="0" borderId="0" xfId="0" applyFont="1" applyProtection="1">
      <protection hidden="1"/>
    </xf>
    <xf numFmtId="14" fontId="100" fillId="15" borderId="254" xfId="0" applyNumberFormat="1" applyFont="1" applyFill="1" applyBorder="1" applyAlignment="1" applyProtection="1">
      <alignment horizontal="center" vertical="center" wrapText="1"/>
      <protection locked="0"/>
    </xf>
    <xf numFmtId="170" fontId="100" fillId="20" borderId="252" xfId="0" applyNumberFormat="1" applyFont="1" applyFill="1" applyBorder="1" applyAlignment="1" applyProtection="1">
      <alignment horizontal="center" vertical="center" wrapText="1"/>
      <protection locked="0"/>
    </xf>
    <xf numFmtId="170" fontId="100" fillId="20" borderId="5" xfId="0" applyNumberFormat="1" applyFont="1" applyFill="1" applyBorder="1" applyAlignment="1" applyProtection="1">
      <alignment horizontal="center" vertical="center" wrapText="1"/>
      <protection locked="0"/>
    </xf>
    <xf numFmtId="170" fontId="27" fillId="28" borderId="201" xfId="0" applyNumberFormat="1" applyFont="1" applyFill="1" applyBorder="1" applyAlignment="1" applyProtection="1">
      <alignment horizontal="center" vertical="center" wrapText="1"/>
      <protection hidden="1"/>
    </xf>
    <xf numFmtId="14" fontId="137" fillId="19" borderId="183" xfId="0" applyNumberFormat="1" applyFont="1" applyFill="1" applyBorder="1" applyAlignment="1" applyProtection="1">
      <alignment horizontal="center" vertical="center" wrapText="1"/>
      <protection hidden="1"/>
    </xf>
    <xf numFmtId="164" fontId="60" fillId="49" borderId="186" xfId="0" applyNumberFormat="1" applyFont="1" applyFill="1" applyBorder="1" applyAlignment="1" applyProtection="1">
      <alignment horizontal="center" vertical="center"/>
      <protection hidden="1"/>
    </xf>
    <xf numFmtId="164" fontId="60" fillId="49" borderId="187" xfId="0" applyNumberFormat="1" applyFont="1" applyFill="1" applyBorder="1" applyAlignment="1" applyProtection="1">
      <alignment horizontal="center" vertical="center"/>
      <protection hidden="1"/>
    </xf>
    <xf numFmtId="164" fontId="60" fillId="49" borderId="188" xfId="0" applyNumberFormat="1" applyFont="1" applyFill="1" applyBorder="1" applyAlignment="1" applyProtection="1">
      <alignment horizontal="center" vertical="center"/>
      <protection hidden="1"/>
    </xf>
    <xf numFmtId="0" fontId="60" fillId="32" borderId="98" xfId="0" applyFont="1" applyFill="1" applyBorder="1" applyAlignment="1" applyProtection="1">
      <alignment horizontal="center" vertical="center"/>
      <protection hidden="1"/>
    </xf>
    <xf numFmtId="0" fontId="60" fillId="32" borderId="156" xfId="0" applyFont="1" applyFill="1" applyBorder="1" applyAlignment="1" applyProtection="1">
      <alignment horizontal="center" vertical="center"/>
      <protection hidden="1"/>
    </xf>
    <xf numFmtId="0" fontId="60" fillId="32" borderId="157" xfId="0" applyFont="1" applyFill="1" applyBorder="1" applyAlignment="1" applyProtection="1">
      <alignment horizontal="center" vertical="center"/>
      <protection hidden="1"/>
    </xf>
    <xf numFmtId="164" fontId="145" fillId="30" borderId="98" xfId="1" applyNumberFormat="1" applyFont="1" applyFill="1" applyBorder="1" applyAlignment="1" applyProtection="1">
      <alignment horizontal="center" vertical="center"/>
      <protection locked="0"/>
    </xf>
    <xf numFmtId="164" fontId="145" fillId="30" borderId="157" xfId="1" applyNumberFormat="1" applyFont="1" applyFill="1" applyBorder="1" applyAlignment="1" applyProtection="1">
      <alignment horizontal="center" vertical="center"/>
      <protection locked="0"/>
    </xf>
    <xf numFmtId="164" fontId="42" fillId="17" borderId="98" xfId="0" applyNumberFormat="1" applyFont="1" applyFill="1" applyBorder="1" applyAlignment="1" applyProtection="1">
      <alignment horizontal="center" vertical="center"/>
      <protection hidden="1"/>
    </xf>
    <xf numFmtId="164" fontId="42" fillId="17" borderId="157" xfId="0" applyNumberFormat="1" applyFont="1" applyFill="1" applyBorder="1" applyAlignment="1" applyProtection="1">
      <alignment horizontal="center" vertical="center"/>
      <protection hidden="1"/>
    </xf>
    <xf numFmtId="164" fontId="60" fillId="17" borderId="151" xfId="0" applyNumberFormat="1" applyFont="1" applyFill="1" applyBorder="1" applyAlignment="1" applyProtection="1">
      <alignment horizontal="center" vertical="center"/>
      <protection hidden="1"/>
    </xf>
    <xf numFmtId="164" fontId="60" fillId="17" borderId="152" xfId="0" applyNumberFormat="1" applyFont="1" applyFill="1" applyBorder="1" applyAlignment="1" applyProtection="1">
      <alignment horizontal="center" vertical="center"/>
      <protection hidden="1"/>
    </xf>
    <xf numFmtId="164" fontId="76" fillId="17" borderId="159" xfId="0" applyNumberFormat="1" applyFont="1" applyFill="1" applyBorder="1" applyAlignment="1" applyProtection="1">
      <alignment horizontal="center" vertical="center"/>
      <protection hidden="1"/>
    </xf>
    <xf numFmtId="164" fontId="76" fillId="17" borderId="160" xfId="0" applyNumberFormat="1" applyFont="1" applyFill="1" applyBorder="1" applyAlignment="1" applyProtection="1">
      <alignment horizontal="center" vertical="center"/>
      <protection hidden="1"/>
    </xf>
    <xf numFmtId="164" fontId="60" fillId="17" borderId="161" xfId="0" applyNumberFormat="1" applyFont="1" applyFill="1" applyBorder="1" applyAlignment="1" applyProtection="1">
      <alignment horizontal="center" vertical="center"/>
      <protection hidden="1"/>
    </xf>
    <xf numFmtId="164" fontId="60" fillId="17" borderId="162" xfId="0" applyNumberFormat="1" applyFont="1" applyFill="1" applyBorder="1" applyAlignment="1" applyProtection="1">
      <alignment horizontal="center" vertical="center"/>
      <protection hidden="1"/>
    </xf>
    <xf numFmtId="164" fontId="143" fillId="23" borderId="98" xfId="0" quotePrefix="1" applyNumberFormat="1" applyFont="1" applyFill="1" applyBorder="1" applyAlignment="1" applyProtection="1">
      <alignment horizontal="center" vertical="center"/>
      <protection hidden="1"/>
    </xf>
    <xf numFmtId="164" fontId="143" fillId="23" borderId="163" xfId="0" quotePrefix="1" applyNumberFormat="1" applyFont="1" applyFill="1" applyBorder="1" applyAlignment="1" applyProtection="1">
      <alignment horizontal="center" vertical="center"/>
      <protection hidden="1"/>
    </xf>
    <xf numFmtId="164" fontId="143" fillId="23" borderId="164" xfId="0" quotePrefix="1" applyNumberFormat="1" applyFont="1" applyFill="1" applyBorder="1" applyAlignment="1" applyProtection="1">
      <alignment horizontal="center" vertical="center"/>
      <protection hidden="1"/>
    </xf>
    <xf numFmtId="164" fontId="13" fillId="8" borderId="0" xfId="0" applyNumberFormat="1" applyFont="1" applyFill="1" applyAlignment="1" applyProtection="1">
      <alignment horizontal="center" vertical="center"/>
      <protection hidden="1"/>
    </xf>
    <xf numFmtId="0" fontId="98" fillId="22" borderId="98" xfId="0" applyFont="1" applyFill="1" applyBorder="1" applyAlignment="1" applyProtection="1">
      <alignment horizontal="center" vertical="center"/>
      <protection hidden="1"/>
    </xf>
    <xf numFmtId="0" fontId="98" fillId="22" borderId="163" xfId="0" applyFont="1" applyFill="1" applyBorder="1" applyAlignment="1" applyProtection="1">
      <alignment horizontal="center" vertical="center"/>
      <protection hidden="1"/>
    </xf>
    <xf numFmtId="0" fontId="98" fillId="22" borderId="164" xfId="0" applyFont="1" applyFill="1" applyBorder="1" applyAlignment="1" applyProtection="1">
      <alignment horizontal="center" vertical="center"/>
      <protection hidden="1"/>
    </xf>
    <xf numFmtId="164" fontId="42" fillId="0" borderId="154" xfId="0" applyNumberFormat="1" applyFont="1" applyBorder="1" applyAlignment="1" applyProtection="1">
      <alignment horizontal="left" vertical="center"/>
      <protection hidden="1"/>
    </xf>
    <xf numFmtId="164" fontId="42" fillId="0" borderId="102" xfId="0" applyNumberFormat="1" applyFont="1" applyBorder="1" applyAlignment="1" applyProtection="1">
      <alignment horizontal="left" vertical="center"/>
      <protection hidden="1"/>
    </xf>
    <xf numFmtId="164" fontId="42" fillId="0" borderId="31" xfId="0" applyNumberFormat="1" applyFont="1" applyBorder="1" applyAlignment="1" applyProtection="1">
      <alignment horizontal="left" vertical="center"/>
      <protection hidden="1"/>
    </xf>
    <xf numFmtId="164" fontId="42" fillId="0" borderId="153" xfId="0" applyNumberFormat="1" applyFont="1" applyBorder="1" applyAlignment="1" applyProtection="1">
      <alignment horizontal="left" vertical="center"/>
      <protection hidden="1"/>
    </xf>
    <xf numFmtId="164" fontId="42" fillId="0" borderId="151" xfId="0" applyNumberFormat="1" applyFont="1" applyBorder="1" applyAlignment="1" applyProtection="1">
      <alignment horizontal="left" vertical="center"/>
      <protection hidden="1"/>
    </xf>
    <xf numFmtId="164" fontId="42" fillId="0" borderId="152" xfId="0" applyNumberFormat="1" applyFont="1" applyBorder="1" applyAlignment="1" applyProtection="1">
      <alignment horizontal="left" vertical="center"/>
      <protection hidden="1"/>
    </xf>
    <xf numFmtId="164" fontId="60" fillId="8" borderId="0" xfId="0" applyNumberFormat="1" applyFont="1" applyFill="1" applyAlignment="1" applyProtection="1">
      <alignment horizontal="center" vertical="center"/>
      <protection hidden="1"/>
    </xf>
    <xf numFmtId="0" fontId="129" fillId="24" borderId="26" xfId="0" applyFont="1" applyFill="1" applyBorder="1" applyAlignment="1" applyProtection="1">
      <alignment horizontal="center" vertical="center"/>
      <protection hidden="1"/>
    </xf>
    <xf numFmtId="0" fontId="129" fillId="24" borderId="25" xfId="0" applyFont="1" applyFill="1" applyBorder="1" applyAlignment="1" applyProtection="1">
      <alignment horizontal="center" vertical="center"/>
      <protection hidden="1"/>
    </xf>
    <xf numFmtId="164" fontId="25" fillId="25" borderId="155" xfId="0" quotePrefix="1" applyNumberFormat="1" applyFont="1" applyFill="1" applyBorder="1" applyAlignment="1" applyProtection="1">
      <alignment horizontal="center" vertical="center"/>
      <protection hidden="1"/>
    </xf>
    <xf numFmtId="164" fontId="25" fillId="25" borderId="30" xfId="0" quotePrefix="1" applyNumberFormat="1" applyFont="1" applyFill="1" applyBorder="1" applyAlignment="1" applyProtection="1">
      <alignment horizontal="center" vertical="center"/>
      <protection hidden="1"/>
    </xf>
    <xf numFmtId="164" fontId="90" fillId="8" borderId="0" xfId="0" applyNumberFormat="1" applyFont="1" applyFill="1" applyAlignment="1" applyProtection="1">
      <alignment horizontal="center" vertical="center"/>
      <protection hidden="1"/>
    </xf>
    <xf numFmtId="164" fontId="42" fillId="8" borderId="0" xfId="0" applyNumberFormat="1" applyFont="1" applyFill="1" applyAlignment="1" applyProtection="1">
      <alignment horizontal="center" vertical="center"/>
      <protection hidden="1"/>
    </xf>
    <xf numFmtId="0" fontId="118" fillId="9" borderId="83" xfId="0" applyFont="1" applyFill="1" applyBorder="1" applyAlignment="1" applyProtection="1">
      <alignment horizontal="center" vertical="center" textRotation="90"/>
      <protection hidden="1"/>
    </xf>
    <xf numFmtId="0" fontId="118" fillId="9" borderId="76" xfId="0" applyFont="1" applyFill="1" applyBorder="1" applyAlignment="1" applyProtection="1">
      <alignment horizontal="center" vertical="center" textRotation="90"/>
      <protection hidden="1"/>
    </xf>
    <xf numFmtId="0" fontId="24" fillId="11" borderId="143" xfId="0" applyFont="1" applyFill="1" applyBorder="1" applyAlignment="1" applyProtection="1">
      <alignment horizontal="center" vertical="center" wrapText="1"/>
      <protection hidden="1"/>
    </xf>
    <xf numFmtId="0" fontId="24" fillId="11" borderId="205" xfId="0" applyFont="1" applyFill="1" applyBorder="1" applyAlignment="1" applyProtection="1">
      <alignment horizontal="center" vertical="center" wrapText="1"/>
      <protection hidden="1"/>
    </xf>
    <xf numFmtId="0" fontId="24" fillId="11" borderId="145" xfId="0" applyFont="1" applyFill="1" applyBorder="1" applyAlignment="1" applyProtection="1">
      <alignment horizontal="center" vertical="center" wrapText="1"/>
      <protection hidden="1"/>
    </xf>
    <xf numFmtId="0" fontId="26" fillId="9" borderId="206" xfId="0" applyFont="1" applyFill="1" applyBorder="1" applyAlignment="1" applyProtection="1">
      <alignment horizontal="center" vertical="center"/>
      <protection hidden="1"/>
    </xf>
    <xf numFmtId="0" fontId="26" fillId="9" borderId="207" xfId="0" applyFont="1" applyFill="1" applyBorder="1" applyAlignment="1" applyProtection="1">
      <alignment horizontal="center" vertical="center"/>
      <protection hidden="1"/>
    </xf>
    <xf numFmtId="0" fontId="26" fillId="9" borderId="208" xfId="0" applyFont="1" applyFill="1" applyBorder="1" applyAlignment="1" applyProtection="1">
      <alignment horizontal="center" vertical="center"/>
      <protection hidden="1"/>
    </xf>
    <xf numFmtId="0" fontId="26" fillId="9" borderId="94" xfId="0" applyFont="1" applyFill="1" applyBorder="1" applyAlignment="1" applyProtection="1">
      <alignment horizontal="center" vertical="center"/>
      <protection hidden="1"/>
    </xf>
    <xf numFmtId="0" fontId="26" fillId="9" borderId="93" xfId="0" applyFont="1" applyFill="1" applyBorder="1" applyAlignment="1" applyProtection="1">
      <alignment horizontal="center" vertical="center"/>
      <protection hidden="1"/>
    </xf>
    <xf numFmtId="0" fontId="26" fillId="9" borderId="77" xfId="0" applyFont="1" applyFill="1" applyBorder="1" applyAlignment="1" applyProtection="1">
      <alignment horizontal="center" vertical="center"/>
      <protection hidden="1"/>
    </xf>
    <xf numFmtId="0" fontId="26" fillId="9" borderId="209" xfId="0" applyFont="1" applyFill="1" applyBorder="1" applyAlignment="1" applyProtection="1">
      <alignment horizontal="center" vertical="center"/>
      <protection hidden="1"/>
    </xf>
    <xf numFmtId="0" fontId="26" fillId="9" borderId="210" xfId="0" applyFont="1" applyFill="1" applyBorder="1" applyAlignment="1" applyProtection="1">
      <alignment horizontal="center" vertical="center"/>
      <protection hidden="1"/>
    </xf>
    <xf numFmtId="0" fontId="26" fillId="9" borderId="211" xfId="0" applyFont="1" applyFill="1" applyBorder="1" applyAlignment="1" applyProtection="1">
      <alignment horizontal="center" vertical="center"/>
      <protection hidden="1"/>
    </xf>
    <xf numFmtId="164" fontId="88" fillId="8" borderId="0" xfId="0" applyNumberFormat="1" applyFont="1" applyFill="1" applyAlignment="1" applyProtection="1">
      <alignment horizontal="center" vertical="center"/>
      <protection hidden="1"/>
    </xf>
    <xf numFmtId="0" fontId="18" fillId="29" borderId="204" xfId="0" applyFont="1" applyFill="1" applyBorder="1" applyAlignment="1" applyProtection="1">
      <alignment horizontal="center" vertical="center"/>
      <protection hidden="1"/>
    </xf>
    <xf numFmtId="0" fontId="18" fillId="29" borderId="205" xfId="0" applyFont="1" applyFill="1" applyBorder="1" applyAlignment="1" applyProtection="1">
      <alignment horizontal="center" vertical="center"/>
      <protection hidden="1"/>
    </xf>
    <xf numFmtId="0" fontId="18" fillId="29" borderId="74" xfId="0" applyFont="1" applyFill="1" applyBorder="1" applyAlignment="1" applyProtection="1">
      <alignment horizontal="center" vertical="center"/>
      <protection hidden="1"/>
    </xf>
    <xf numFmtId="0" fontId="27" fillId="9" borderId="206" xfId="0" applyFont="1" applyFill="1" applyBorder="1" applyAlignment="1" applyProtection="1">
      <alignment horizontal="center" vertical="center"/>
      <protection hidden="1"/>
    </xf>
    <xf numFmtId="0" fontId="27" fillId="9" borderId="207" xfId="0" applyFont="1" applyFill="1" applyBorder="1" applyAlignment="1" applyProtection="1">
      <alignment horizontal="center" vertical="center"/>
      <protection hidden="1"/>
    </xf>
    <xf numFmtId="0" fontId="27" fillId="9" borderId="208" xfId="0" applyFont="1" applyFill="1" applyBorder="1" applyAlignment="1" applyProtection="1">
      <alignment horizontal="center" vertical="center"/>
      <protection hidden="1"/>
    </xf>
    <xf numFmtId="0" fontId="117" fillId="9" borderId="94" xfId="0" applyFont="1" applyFill="1" applyBorder="1" applyAlignment="1" applyProtection="1">
      <alignment horizontal="center" vertical="center"/>
      <protection hidden="1"/>
    </xf>
    <xf numFmtId="0" fontId="117" fillId="9" borderId="93" xfId="0" applyFont="1" applyFill="1" applyBorder="1" applyAlignment="1" applyProtection="1">
      <alignment horizontal="center" vertical="center"/>
      <protection hidden="1"/>
    </xf>
    <xf numFmtId="0" fontId="117" fillId="9" borderId="77" xfId="0" applyFont="1" applyFill="1" applyBorder="1" applyAlignment="1" applyProtection="1">
      <alignment horizontal="center" vertical="center"/>
      <protection hidden="1"/>
    </xf>
    <xf numFmtId="0" fontId="27" fillId="9" borderId="94" xfId="0" applyFont="1" applyFill="1" applyBorder="1" applyAlignment="1" applyProtection="1">
      <alignment horizontal="center" vertical="center"/>
      <protection hidden="1"/>
    </xf>
    <xf numFmtId="0" fontId="27" fillId="9" borderId="93" xfId="0" applyFont="1" applyFill="1" applyBorder="1" applyAlignment="1" applyProtection="1">
      <alignment horizontal="center" vertical="center"/>
      <protection hidden="1"/>
    </xf>
    <xf numFmtId="0" fontId="27" fillId="9" borderId="77" xfId="0" applyFont="1" applyFill="1" applyBorder="1" applyAlignment="1" applyProtection="1">
      <alignment horizontal="center" vertical="center"/>
      <protection hidden="1"/>
    </xf>
    <xf numFmtId="0" fontId="40" fillId="0" borderId="0" xfId="3" applyFont="1" applyAlignment="1" applyProtection="1">
      <alignment horizontal="left" vertical="center"/>
      <protection hidden="1"/>
    </xf>
    <xf numFmtId="167" fontId="33" fillId="0" borderId="0" xfId="0" applyNumberFormat="1" applyFont="1" applyAlignment="1" applyProtection="1">
      <alignment horizontal="left" vertical="center"/>
      <protection hidden="1"/>
    </xf>
    <xf numFmtId="0" fontId="56" fillId="0" borderId="0" xfId="3" applyFont="1" applyAlignment="1" applyProtection="1">
      <alignment horizontal="left" vertical="center"/>
      <protection hidden="1"/>
    </xf>
    <xf numFmtId="0" fontId="166" fillId="52" borderId="0" xfId="0" applyFont="1" applyFill="1" applyAlignment="1" applyProtection="1">
      <alignment horizontal="center" vertical="center" wrapText="1"/>
      <protection hidden="1"/>
    </xf>
    <xf numFmtId="0" fontId="62" fillId="0" borderId="0" xfId="3" applyFont="1" applyAlignment="1" applyProtection="1">
      <alignment horizontal="left" vertical="center"/>
      <protection hidden="1"/>
    </xf>
    <xf numFmtId="164" fontId="17" fillId="10" borderId="165" xfId="0" applyNumberFormat="1" applyFont="1" applyFill="1" applyBorder="1" applyAlignment="1" applyProtection="1">
      <alignment horizontal="center" vertical="center"/>
      <protection hidden="1"/>
    </xf>
    <xf numFmtId="164" fontId="17" fillId="10" borderId="166" xfId="0" applyNumberFormat="1" applyFont="1" applyFill="1" applyBorder="1" applyAlignment="1" applyProtection="1">
      <alignment horizontal="center" vertical="center"/>
      <protection hidden="1"/>
    </xf>
    <xf numFmtId="164" fontId="17" fillId="10" borderId="167" xfId="0" applyNumberFormat="1" applyFont="1" applyFill="1" applyBorder="1" applyAlignment="1" applyProtection="1">
      <alignment horizontal="center" vertical="center"/>
      <protection hidden="1"/>
    </xf>
    <xf numFmtId="0" fontId="111" fillId="9" borderId="262" xfId="0" applyFont="1" applyFill="1" applyBorder="1" applyAlignment="1" applyProtection="1">
      <alignment horizontal="center" vertical="center" textRotation="90"/>
      <protection hidden="1"/>
    </xf>
    <xf numFmtId="0" fontId="111" fillId="9" borderId="261" xfId="0" applyFont="1" applyFill="1" applyBorder="1" applyAlignment="1" applyProtection="1">
      <alignment horizontal="center" vertical="center" textRotation="90"/>
      <protection hidden="1"/>
    </xf>
    <xf numFmtId="0" fontId="31" fillId="9" borderId="4" xfId="0" applyFont="1" applyFill="1" applyBorder="1" applyAlignment="1" applyProtection="1">
      <alignment horizontal="center" vertical="center" textRotation="90"/>
      <protection hidden="1"/>
    </xf>
    <xf numFmtId="0" fontId="112" fillId="9" borderId="4" xfId="0" applyFont="1" applyFill="1" applyBorder="1" applyAlignment="1" applyProtection="1">
      <alignment horizontal="center" vertical="center" textRotation="90"/>
      <protection hidden="1"/>
    </xf>
    <xf numFmtId="0" fontId="31" fillId="9" borderId="78" xfId="0" applyFont="1" applyFill="1" applyBorder="1" applyAlignment="1" applyProtection="1">
      <alignment horizontal="center" vertical="center" textRotation="90"/>
      <protection hidden="1"/>
    </xf>
    <xf numFmtId="164" fontId="60" fillId="18" borderId="98" xfId="0" applyNumberFormat="1" applyFont="1" applyFill="1" applyBorder="1" applyAlignment="1" applyProtection="1">
      <alignment horizontal="center" vertical="center"/>
      <protection hidden="1"/>
    </xf>
    <xf numFmtId="164" fontId="60" fillId="18" borderId="99" xfId="0" applyNumberFormat="1" applyFont="1" applyFill="1" applyBorder="1" applyAlignment="1" applyProtection="1">
      <alignment horizontal="center" vertical="center"/>
      <protection hidden="1"/>
    </xf>
    <xf numFmtId="164" fontId="60" fillId="18" borderId="100" xfId="0" applyNumberFormat="1" applyFont="1" applyFill="1" applyBorder="1" applyAlignment="1" applyProtection="1">
      <alignment horizontal="center" vertical="center"/>
      <protection hidden="1"/>
    </xf>
    <xf numFmtId="14" fontId="65" fillId="21" borderId="95" xfId="0" applyNumberFormat="1" applyFont="1" applyFill="1" applyBorder="1" applyAlignment="1" applyProtection="1">
      <alignment horizontal="center" vertical="center"/>
      <protection locked="0"/>
    </xf>
    <xf numFmtId="14" fontId="65" fillId="21" borderId="96" xfId="0" applyNumberFormat="1" applyFont="1" applyFill="1" applyBorder="1" applyAlignment="1" applyProtection="1">
      <alignment horizontal="center" vertical="center"/>
      <protection locked="0"/>
    </xf>
    <xf numFmtId="14" fontId="65" fillId="21" borderId="97" xfId="0" applyNumberFormat="1" applyFont="1" applyFill="1" applyBorder="1" applyAlignment="1" applyProtection="1">
      <alignment horizontal="center" vertical="center"/>
      <protection locked="0"/>
    </xf>
    <xf numFmtId="1" fontId="65" fillId="21" borderId="82" xfId="0" applyNumberFormat="1" applyFont="1" applyFill="1" applyBorder="1" applyAlignment="1" applyProtection="1">
      <alignment horizontal="center" vertical="center"/>
      <protection locked="0"/>
    </xf>
    <xf numFmtId="1" fontId="65" fillId="21" borderId="101" xfId="0" applyNumberFormat="1" applyFont="1" applyFill="1" applyBorder="1" applyAlignment="1" applyProtection="1">
      <alignment horizontal="center" vertical="center"/>
      <protection locked="0"/>
    </xf>
    <xf numFmtId="1" fontId="65" fillId="21" borderId="102" xfId="0" applyNumberFormat="1" applyFont="1" applyFill="1" applyBorder="1" applyAlignment="1" applyProtection="1">
      <alignment horizontal="center" vertical="center"/>
      <protection locked="0"/>
    </xf>
    <xf numFmtId="0" fontId="132" fillId="10" borderId="265" xfId="0" applyFont="1" applyFill="1" applyBorder="1" applyAlignment="1" applyProtection="1">
      <alignment horizontal="center" vertical="center"/>
      <protection hidden="1"/>
    </xf>
    <xf numFmtId="0" fontId="132" fillId="10" borderId="264" xfId="0" applyFont="1" applyFill="1" applyBorder="1" applyAlignment="1" applyProtection="1">
      <alignment horizontal="center" vertical="center"/>
      <protection hidden="1"/>
    </xf>
    <xf numFmtId="0" fontId="27" fillId="9" borderId="209" xfId="0" applyFont="1" applyFill="1" applyBorder="1" applyAlignment="1" applyProtection="1">
      <alignment horizontal="center" vertical="center"/>
      <protection hidden="1"/>
    </xf>
    <xf numFmtId="0" fontId="27" fillId="9" borderId="210" xfId="0" applyFont="1" applyFill="1" applyBorder="1" applyAlignment="1" applyProtection="1">
      <alignment horizontal="center" vertical="center"/>
      <protection hidden="1"/>
    </xf>
    <xf numFmtId="0" fontId="27" fillId="9" borderId="211" xfId="0" applyFont="1" applyFill="1" applyBorder="1" applyAlignment="1" applyProtection="1">
      <alignment horizontal="center" vertical="center"/>
      <protection hidden="1"/>
    </xf>
    <xf numFmtId="0" fontId="25" fillId="19" borderId="0" xfId="0" applyFont="1" applyFill="1" applyAlignment="1" applyProtection="1">
      <alignment horizontal="center" vertical="center"/>
      <protection locked="0"/>
    </xf>
    <xf numFmtId="0" fontId="27" fillId="40" borderId="257" xfId="0" applyFont="1" applyFill="1" applyBorder="1" applyAlignment="1" applyProtection="1">
      <alignment horizontal="center"/>
      <protection hidden="1"/>
    </xf>
    <xf numFmtId="0" fontId="27" fillId="40" borderId="258" xfId="0" applyFont="1" applyFill="1" applyBorder="1" applyAlignment="1" applyProtection="1">
      <alignment horizontal="center"/>
      <protection hidden="1"/>
    </xf>
    <xf numFmtId="0" fontId="27" fillId="40" borderId="259" xfId="0" applyFont="1" applyFill="1" applyBorder="1" applyAlignment="1" applyProtection="1">
      <alignment horizontal="center" vertical="center"/>
      <protection hidden="1"/>
    </xf>
    <xf numFmtId="0" fontId="27" fillId="40" borderId="260" xfId="0" applyFont="1" applyFill="1" applyBorder="1" applyAlignment="1" applyProtection="1">
      <alignment horizontal="center" vertical="center"/>
      <protection hidden="1"/>
    </xf>
    <xf numFmtId="170" fontId="99" fillId="0" borderId="135" xfId="0" applyNumberFormat="1" applyFont="1" applyBorder="1" applyAlignment="1" applyProtection="1">
      <alignment horizontal="center" vertical="center" wrapText="1"/>
      <protection hidden="1"/>
    </xf>
    <xf numFmtId="170" fontId="99" fillId="0" borderId="247" xfId="0" applyNumberFormat="1" applyFont="1" applyBorder="1" applyAlignment="1" applyProtection="1">
      <alignment horizontal="center" vertical="center" wrapText="1"/>
      <protection hidden="1"/>
    </xf>
    <xf numFmtId="170" fontId="99" fillId="0" borderId="248" xfId="0" applyNumberFormat="1" applyFont="1" applyBorder="1" applyAlignment="1" applyProtection="1">
      <alignment horizontal="center" vertical="center" wrapText="1"/>
      <protection hidden="1"/>
    </xf>
    <xf numFmtId="49" fontId="57" fillId="0" borderId="135" xfId="0" applyNumberFormat="1" applyFont="1" applyBorder="1" applyAlignment="1" applyProtection="1">
      <alignment horizontal="center" vertical="center" wrapText="1"/>
      <protection hidden="1"/>
    </xf>
    <xf numFmtId="49" fontId="57" fillId="0" borderId="247" xfId="0" applyNumberFormat="1" applyFont="1" applyBorder="1" applyAlignment="1" applyProtection="1">
      <alignment horizontal="center" vertical="center" wrapText="1"/>
      <protection hidden="1"/>
    </xf>
    <xf numFmtId="49" fontId="57" fillId="0" borderId="248" xfId="0" applyNumberFormat="1" applyFont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49" fontId="27" fillId="0" borderId="0" xfId="0" applyNumberFormat="1" applyFont="1" applyAlignment="1" applyProtection="1">
      <alignment horizontal="left"/>
      <protection hidden="1"/>
    </xf>
    <xf numFmtId="49" fontId="46" fillId="0" borderId="0" xfId="0" applyNumberFormat="1" applyFont="1" applyAlignment="1" applyProtection="1">
      <alignment horizontal="left" vertical="center"/>
      <protection hidden="1"/>
    </xf>
    <xf numFmtId="0" fontId="135" fillId="0" borderId="228" xfId="0" applyFont="1" applyBorder="1" applyAlignment="1" applyProtection="1">
      <alignment horizontal="center" vertical="center"/>
      <protection hidden="1"/>
    </xf>
    <xf numFmtId="0" fontId="135" fillId="0" borderId="229" xfId="0" applyFont="1" applyBorder="1" applyAlignment="1" applyProtection="1">
      <alignment horizontal="center" vertical="center"/>
      <protection hidden="1"/>
    </xf>
    <xf numFmtId="0" fontId="135" fillId="0" borderId="230" xfId="0" applyFont="1" applyBorder="1" applyAlignment="1" applyProtection="1">
      <alignment horizontal="center" vertical="center"/>
      <protection hidden="1"/>
    </xf>
    <xf numFmtId="0" fontId="50" fillId="51" borderId="186" xfId="0" applyFont="1" applyFill="1" applyBorder="1" applyAlignment="1" applyProtection="1">
      <alignment horizontal="center" vertical="center"/>
      <protection hidden="1"/>
    </xf>
    <xf numFmtId="0" fontId="50" fillId="51" borderId="187" xfId="0" applyFont="1" applyFill="1" applyBorder="1" applyAlignment="1" applyProtection="1">
      <alignment horizontal="center" vertical="center"/>
      <protection hidden="1"/>
    </xf>
    <xf numFmtId="0" fontId="50" fillId="51" borderId="188" xfId="0" applyFont="1" applyFill="1" applyBorder="1" applyAlignment="1" applyProtection="1">
      <alignment horizontal="center" vertical="center"/>
      <protection hidden="1"/>
    </xf>
    <xf numFmtId="0" fontId="120" fillId="0" borderId="225" xfId="0" applyFont="1" applyBorder="1" applyAlignment="1" applyProtection="1">
      <alignment horizontal="center" vertical="center"/>
      <protection hidden="1"/>
    </xf>
    <xf numFmtId="0" fontId="120" fillId="0" borderId="226" xfId="0" applyFont="1" applyBorder="1" applyAlignment="1" applyProtection="1">
      <alignment horizontal="center" vertical="center"/>
      <protection hidden="1"/>
    </xf>
    <xf numFmtId="0" fontId="120" fillId="0" borderId="227" xfId="0" applyFont="1" applyBorder="1" applyAlignment="1" applyProtection="1">
      <alignment horizontal="center" vertical="center"/>
      <protection hidden="1"/>
    </xf>
    <xf numFmtId="0" fontId="57" fillId="0" borderId="0" xfId="0" applyFont="1" applyAlignment="1" applyProtection="1">
      <alignment horizontal="right" vertical="center"/>
      <protection hidden="1"/>
    </xf>
    <xf numFmtId="0" fontId="157" fillId="0" borderId="186" xfId="1" applyFont="1" applyFill="1" applyBorder="1" applyAlignment="1" applyProtection="1">
      <alignment horizontal="center" vertical="center"/>
      <protection locked="0"/>
    </xf>
    <xf numFmtId="0" fontId="157" fillId="0" borderId="188" xfId="1" applyFont="1" applyFill="1" applyBorder="1" applyAlignment="1" applyProtection="1">
      <alignment horizontal="center" vertical="center"/>
      <protection locked="0"/>
    </xf>
    <xf numFmtId="0" fontId="100" fillId="0" borderId="0" xfId="0" applyFont="1" applyAlignment="1" applyProtection="1">
      <alignment horizontal="left" vertical="center"/>
      <protection hidden="1"/>
    </xf>
    <xf numFmtId="0" fontId="163" fillId="0" borderId="134" xfId="0" applyFont="1" applyBorder="1" applyAlignment="1" applyProtection="1">
      <alignment horizontal="center" vertical="center" wrapText="1"/>
      <protection hidden="1"/>
    </xf>
    <xf numFmtId="0" fontId="163" fillId="0" borderId="55" xfId="0" applyFont="1" applyBorder="1" applyAlignment="1" applyProtection="1">
      <alignment horizontal="center" vertical="center" wrapText="1"/>
      <protection hidden="1"/>
    </xf>
    <xf numFmtId="0" fontId="100" fillId="28" borderId="98" xfId="0" applyFont="1" applyFill="1" applyBorder="1" applyAlignment="1" applyProtection="1">
      <alignment horizontal="center" vertical="center"/>
      <protection locked="0"/>
    </xf>
    <xf numFmtId="0" fontId="100" fillId="28" borderId="55" xfId="0" applyFont="1" applyFill="1" applyBorder="1" applyAlignment="1" applyProtection="1">
      <alignment horizontal="center" vertical="center"/>
      <protection locked="0"/>
    </xf>
    <xf numFmtId="0" fontId="74" fillId="50" borderId="98" xfId="0" applyFont="1" applyFill="1" applyBorder="1" applyAlignment="1" applyProtection="1">
      <alignment horizontal="center" vertical="center"/>
      <protection hidden="1"/>
    </xf>
    <xf numFmtId="0" fontId="74" fillId="50" borderId="55" xfId="0" applyFont="1" applyFill="1" applyBorder="1" applyAlignment="1" applyProtection="1">
      <alignment horizontal="center" vertical="center"/>
      <protection hidden="1"/>
    </xf>
    <xf numFmtId="0" fontId="158" fillId="0" borderId="0" xfId="0" applyFont="1" applyAlignment="1" applyProtection="1">
      <alignment horizontal="center" vertical="center" wrapText="1"/>
      <protection hidden="1"/>
    </xf>
    <xf numFmtId="170" fontId="96" fillId="41" borderId="98" xfId="0" applyNumberFormat="1" applyFont="1" applyFill="1" applyBorder="1" applyAlignment="1" applyProtection="1">
      <alignment horizontal="center" vertical="center"/>
      <protection hidden="1"/>
    </xf>
    <xf numFmtId="170" fontId="96" fillId="41" borderId="55" xfId="0" applyNumberFormat="1" applyFont="1" applyFill="1" applyBorder="1" applyAlignment="1" applyProtection="1">
      <alignment horizontal="center" vertical="center"/>
      <protection hidden="1"/>
    </xf>
    <xf numFmtId="0" fontId="50" fillId="51" borderId="133" xfId="0" applyFont="1" applyFill="1" applyBorder="1" applyAlignment="1" applyProtection="1">
      <alignment horizontal="center" vertical="center" wrapText="1"/>
      <protection hidden="1"/>
    </xf>
    <xf numFmtId="0" fontId="50" fillId="51" borderId="125" xfId="0" applyFont="1" applyFill="1" applyBorder="1" applyAlignment="1" applyProtection="1">
      <alignment horizontal="center" vertical="center" wrapText="1"/>
      <protection hidden="1"/>
    </xf>
    <xf numFmtId="0" fontId="50" fillId="51" borderId="126" xfId="0" applyFont="1" applyFill="1" applyBorder="1" applyAlignment="1" applyProtection="1">
      <alignment horizontal="center" vertical="center" wrapText="1"/>
      <protection hidden="1"/>
    </xf>
    <xf numFmtId="0" fontId="96" fillId="0" borderId="0" xfId="0" applyFont="1" applyAlignment="1" applyProtection="1">
      <alignment horizontal="center" vertical="center"/>
      <protection hidden="1"/>
    </xf>
    <xf numFmtId="0" fontId="66" fillId="47" borderId="143" xfId="0" applyFont="1" applyFill="1" applyBorder="1" applyAlignment="1" applyProtection="1">
      <alignment horizontal="center" vertical="center"/>
      <protection hidden="1"/>
    </xf>
    <xf numFmtId="0" fontId="66" fillId="47" borderId="144" xfId="0" applyFont="1" applyFill="1" applyBorder="1" applyAlignment="1" applyProtection="1">
      <alignment horizontal="center" vertical="center"/>
      <protection hidden="1"/>
    </xf>
    <xf numFmtId="0" fontId="66" fillId="47" borderId="145" xfId="0" applyFont="1" applyFill="1" applyBorder="1" applyAlignment="1" applyProtection="1">
      <alignment horizontal="center" vertical="center"/>
      <protection hidden="1"/>
    </xf>
    <xf numFmtId="0" fontId="66" fillId="47" borderId="70" xfId="0" applyFont="1" applyFill="1" applyBorder="1" applyAlignment="1" applyProtection="1">
      <alignment horizontal="center" vertical="center"/>
      <protection hidden="1"/>
    </xf>
    <xf numFmtId="0" fontId="66" fillId="47" borderId="146" xfId="0" applyFont="1" applyFill="1" applyBorder="1" applyAlignment="1" applyProtection="1">
      <alignment horizontal="center" vertical="center"/>
      <protection hidden="1"/>
    </xf>
    <xf numFmtId="0" fontId="66" fillId="47" borderId="71" xfId="0" applyFont="1" applyFill="1" applyBorder="1" applyAlignment="1" applyProtection="1">
      <alignment horizontal="center" vertical="center"/>
      <protection hidden="1"/>
    </xf>
    <xf numFmtId="0" fontId="23" fillId="38" borderId="113" xfId="0" applyFont="1" applyFill="1" applyBorder="1" applyAlignment="1" applyProtection="1">
      <alignment horizontal="center" vertical="center"/>
      <protection hidden="1"/>
    </xf>
    <xf numFmtId="0" fontId="23" fillId="38" borderId="99" xfId="0" applyFont="1" applyFill="1" applyBorder="1" applyAlignment="1" applyProtection="1">
      <alignment horizontal="center" vertical="center"/>
      <protection hidden="1"/>
    </xf>
    <xf numFmtId="0" fontId="23" fillId="38" borderId="134" xfId="0" applyFont="1" applyFill="1" applyBorder="1" applyAlignment="1" applyProtection="1">
      <alignment horizontal="center" vertical="center"/>
      <protection hidden="1"/>
    </xf>
    <xf numFmtId="0" fontId="23" fillId="38" borderId="100" xfId="0" applyFont="1" applyFill="1" applyBorder="1" applyAlignment="1" applyProtection="1">
      <alignment horizontal="center" vertical="center"/>
      <protection hidden="1"/>
    </xf>
    <xf numFmtId="0" fontId="115" fillId="43" borderId="104" xfId="0" applyFont="1" applyFill="1" applyBorder="1" applyAlignment="1" applyProtection="1">
      <alignment horizontal="center" vertical="center"/>
      <protection hidden="1"/>
    </xf>
    <xf numFmtId="0" fontId="115" fillId="43" borderId="65" xfId="0" applyFont="1" applyFill="1" applyBorder="1" applyAlignment="1" applyProtection="1">
      <alignment horizontal="center" vertical="center"/>
      <protection hidden="1"/>
    </xf>
    <xf numFmtId="0" fontId="115" fillId="43" borderId="105" xfId="0" applyFont="1" applyFill="1" applyBorder="1" applyAlignment="1" applyProtection="1">
      <alignment horizontal="center" vertical="center"/>
      <protection hidden="1"/>
    </xf>
    <xf numFmtId="185" fontId="105" fillId="33" borderId="106" xfId="27" applyFont="1" applyBorder="1" applyAlignment="1" applyProtection="1">
      <alignment horizontal="center" vertical="center"/>
      <protection hidden="1"/>
    </xf>
    <xf numFmtId="185" fontId="105" fillId="33" borderId="29" xfId="27" applyFont="1" applyBorder="1" applyAlignment="1" applyProtection="1">
      <alignment horizontal="center" vertical="center"/>
      <protection hidden="1"/>
    </xf>
    <xf numFmtId="185" fontId="105" fillId="33" borderId="138" xfId="27" applyFont="1" applyBorder="1" applyAlignment="1" applyProtection="1">
      <alignment horizontal="center" vertical="center"/>
      <protection hidden="1"/>
    </xf>
    <xf numFmtId="185" fontId="102" fillId="46" borderId="106" xfId="27" applyFont="1" applyFill="1" applyBorder="1" applyAlignment="1" applyProtection="1">
      <alignment horizontal="center" vertical="center"/>
      <protection hidden="1"/>
    </xf>
    <xf numFmtId="185" fontId="102" fillId="46" borderId="29" xfId="27" applyFont="1" applyFill="1" applyBorder="1" applyAlignment="1" applyProtection="1">
      <alignment horizontal="center" vertical="center"/>
      <protection hidden="1"/>
    </xf>
    <xf numFmtId="185" fontId="102" fillId="46" borderId="138" xfId="27" applyFont="1" applyFill="1" applyBorder="1" applyAlignment="1" applyProtection="1">
      <alignment horizontal="center" vertical="center"/>
      <protection hidden="1"/>
    </xf>
    <xf numFmtId="0" fontId="44" fillId="35" borderId="189" xfId="0" applyFont="1" applyFill="1" applyBorder="1" applyAlignment="1" applyProtection="1">
      <alignment horizontal="left" vertical="center"/>
      <protection hidden="1"/>
    </xf>
    <xf numFmtId="0" fontId="44" fillId="35" borderId="190" xfId="0" applyFont="1" applyFill="1" applyBorder="1" applyAlignment="1" applyProtection="1">
      <alignment horizontal="left" vertical="center"/>
      <protection hidden="1"/>
    </xf>
    <xf numFmtId="0" fontId="44" fillId="0" borderId="0" xfId="0" applyFont="1" applyAlignment="1" applyProtection="1">
      <alignment horizontal="left" vertical="center"/>
      <protection hidden="1"/>
    </xf>
    <xf numFmtId="0" fontId="67" fillId="0" borderId="0" xfId="0" applyFont="1" applyAlignment="1" applyProtection="1">
      <alignment horizontal="left"/>
      <protection hidden="1"/>
    </xf>
    <xf numFmtId="0" fontId="27" fillId="0" borderId="0" xfId="0" applyFont="1" applyAlignment="1" applyProtection="1">
      <alignment horizontal="left" vertical="center"/>
      <protection hidden="1"/>
    </xf>
    <xf numFmtId="0" fontId="124" fillId="47" borderId="113" xfId="0" applyFont="1" applyFill="1" applyBorder="1" applyAlignment="1" applyProtection="1">
      <alignment horizontal="center" vertical="center"/>
      <protection hidden="1"/>
    </xf>
    <xf numFmtId="0" fontId="124" fillId="47" borderId="99" xfId="0" applyFont="1" applyFill="1" applyBorder="1" applyAlignment="1" applyProtection="1">
      <alignment horizontal="center" vertical="center"/>
      <protection hidden="1"/>
    </xf>
    <xf numFmtId="0" fontId="124" fillId="47" borderId="134" xfId="0" applyFont="1" applyFill="1" applyBorder="1" applyAlignment="1" applyProtection="1">
      <alignment horizontal="center" vertical="center"/>
      <protection hidden="1"/>
    </xf>
    <xf numFmtId="0" fontId="124" fillId="47" borderId="100" xfId="0" applyFont="1" applyFill="1" applyBorder="1" applyAlignment="1" applyProtection="1">
      <alignment horizontal="center" vertical="center"/>
      <protection hidden="1"/>
    </xf>
    <xf numFmtId="0" fontId="67" fillId="0" borderId="0" xfId="0" applyFont="1" applyAlignment="1" applyProtection="1">
      <alignment horizontal="center"/>
      <protection hidden="1"/>
    </xf>
    <xf numFmtId="0" fontId="44" fillId="35" borderId="196" xfId="0" applyFont="1" applyFill="1" applyBorder="1" applyAlignment="1" applyProtection="1">
      <alignment horizontal="left" vertical="center"/>
      <protection hidden="1"/>
    </xf>
    <xf numFmtId="0" fontId="44" fillId="35" borderId="191" xfId="0" applyFont="1" applyFill="1" applyBorder="1" applyAlignment="1" applyProtection="1">
      <alignment horizontal="left" vertical="center"/>
      <protection hidden="1"/>
    </xf>
    <xf numFmtId="0" fontId="27" fillId="44" borderId="135" xfId="0" applyFont="1" applyFill="1" applyBorder="1" applyAlignment="1" applyProtection="1">
      <alignment horizontal="left" vertical="center"/>
      <protection hidden="1"/>
    </xf>
    <xf numFmtId="0" fontId="27" fillId="44" borderId="136" xfId="0" applyFont="1" applyFill="1" applyBorder="1" applyAlignment="1" applyProtection="1">
      <alignment horizontal="left" vertical="center"/>
      <protection hidden="1"/>
    </xf>
    <xf numFmtId="0" fontId="67" fillId="26" borderId="135" xfId="0" applyFont="1" applyFill="1" applyBorder="1" applyAlignment="1" applyProtection="1">
      <alignment horizontal="left" vertical="center"/>
      <protection hidden="1"/>
    </xf>
    <xf numFmtId="0" fontId="67" fillId="26" borderId="136" xfId="0" applyFont="1" applyFill="1" applyBorder="1" applyAlignment="1" applyProtection="1">
      <alignment horizontal="left" vertical="center"/>
      <protection hidden="1"/>
    </xf>
    <xf numFmtId="0" fontId="23" fillId="40" borderId="135" xfId="0" applyFont="1" applyFill="1" applyBorder="1" applyAlignment="1" applyProtection="1">
      <alignment horizontal="center" vertical="center"/>
      <protection hidden="1"/>
    </xf>
    <xf numFmtId="0" fontId="23" fillId="40" borderId="247" xfId="0" applyFont="1" applyFill="1" applyBorder="1" applyAlignment="1" applyProtection="1">
      <alignment horizontal="center" vertical="center"/>
      <protection hidden="1"/>
    </xf>
    <xf numFmtId="0" fontId="23" fillId="40" borderId="248" xfId="0" applyFont="1" applyFill="1" applyBorder="1" applyAlignment="1" applyProtection="1">
      <alignment horizontal="center" vertical="center"/>
      <protection hidden="1"/>
    </xf>
    <xf numFmtId="0" fontId="127" fillId="0" borderId="135" xfId="0" applyFont="1" applyBorder="1" applyAlignment="1" applyProtection="1">
      <alignment horizontal="center" vertical="center"/>
      <protection hidden="1"/>
    </xf>
    <xf numFmtId="0" fontId="127" fillId="0" borderId="247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27" fillId="39" borderId="110" xfId="0" applyFont="1" applyFill="1" applyBorder="1" applyAlignment="1" applyProtection="1">
      <alignment horizontal="center" vertical="center" wrapText="1"/>
      <protection hidden="1"/>
    </xf>
    <xf numFmtId="0" fontId="27" fillId="39" borderId="111" xfId="0" applyFont="1" applyFill="1" applyBorder="1" applyAlignment="1" applyProtection="1">
      <alignment horizontal="center" vertical="center" wrapText="1"/>
      <protection hidden="1"/>
    </xf>
    <xf numFmtId="0" fontId="27" fillId="39" borderId="70" xfId="0" applyFont="1" applyFill="1" applyBorder="1" applyAlignment="1" applyProtection="1">
      <alignment horizontal="center" vertical="center" wrapText="1"/>
      <protection hidden="1"/>
    </xf>
    <xf numFmtId="0" fontId="27" fillId="39" borderId="71" xfId="0" applyFont="1" applyFill="1" applyBorder="1" applyAlignment="1" applyProtection="1">
      <alignment horizontal="center" vertical="center" wrapText="1"/>
      <protection hidden="1"/>
    </xf>
    <xf numFmtId="0" fontId="44" fillId="35" borderId="194" xfId="0" applyFont="1" applyFill="1" applyBorder="1" applyAlignment="1" applyProtection="1">
      <alignment horizontal="left" vertical="center"/>
      <protection hidden="1"/>
    </xf>
    <xf numFmtId="0" fontId="44" fillId="35" borderId="195" xfId="0" applyFont="1" applyFill="1" applyBorder="1" applyAlignment="1" applyProtection="1">
      <alignment horizontal="left" vertical="center"/>
      <protection hidden="1"/>
    </xf>
    <xf numFmtId="0" fontId="27" fillId="31" borderId="62" xfId="0" applyFont="1" applyFill="1" applyBorder="1" applyAlignment="1" applyProtection="1">
      <alignment horizontal="center" vertical="center"/>
      <protection locked="0"/>
    </xf>
    <xf numFmtId="0" fontId="27" fillId="31" borderId="75" xfId="0" applyFont="1" applyFill="1" applyBorder="1" applyAlignment="1" applyProtection="1">
      <alignment horizontal="center" vertical="center"/>
      <protection locked="0"/>
    </xf>
    <xf numFmtId="0" fontId="27" fillId="31" borderId="58" xfId="0" applyFont="1" applyFill="1" applyBorder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hidden="1"/>
    </xf>
    <xf numFmtId="0" fontId="147" fillId="45" borderId="168" xfId="0" applyFont="1" applyFill="1" applyBorder="1" applyAlignment="1" applyProtection="1">
      <alignment horizontal="center" vertical="center" wrapText="1"/>
      <protection hidden="1"/>
    </xf>
    <xf numFmtId="0" fontId="147" fillId="45" borderId="125" xfId="0" applyFont="1" applyFill="1" applyBorder="1" applyAlignment="1" applyProtection="1">
      <alignment horizontal="center" vertical="center" wrapText="1"/>
      <protection hidden="1"/>
    </xf>
    <xf numFmtId="0" fontId="147" fillId="45" borderId="126" xfId="0" applyFont="1" applyFill="1" applyBorder="1" applyAlignment="1" applyProtection="1">
      <alignment horizontal="center" vertical="center" wrapText="1"/>
      <protection hidden="1"/>
    </xf>
    <xf numFmtId="0" fontId="120" fillId="0" borderId="10" xfId="0" applyFont="1" applyBorder="1" applyAlignment="1" applyProtection="1">
      <alignment horizontal="center" vertical="center"/>
      <protection hidden="1"/>
    </xf>
    <xf numFmtId="0" fontId="150" fillId="0" borderId="146" xfId="0" applyFont="1" applyBorder="1" applyAlignment="1" applyProtection="1">
      <alignment horizontal="center"/>
      <protection hidden="1"/>
    </xf>
    <xf numFmtId="0" fontId="150" fillId="0" borderId="0" xfId="0" applyFont="1" applyAlignment="1" applyProtection="1">
      <alignment horizontal="center"/>
      <protection hidden="1"/>
    </xf>
    <xf numFmtId="0" fontId="154" fillId="0" borderId="98" xfId="1" applyFont="1" applyFill="1" applyBorder="1" applyAlignment="1" applyProtection="1">
      <alignment horizontal="center" vertical="center"/>
      <protection locked="0"/>
    </xf>
    <xf numFmtId="0" fontId="154" fillId="0" borderId="220" xfId="1" applyFont="1" applyFill="1" applyBorder="1" applyAlignment="1" applyProtection="1">
      <alignment horizontal="center" vertical="center"/>
      <protection locked="0"/>
    </xf>
    <xf numFmtId="0" fontId="154" fillId="0" borderId="221" xfId="1" applyFont="1" applyFill="1" applyBorder="1" applyAlignment="1" applyProtection="1">
      <alignment horizontal="center" vertical="center"/>
      <protection locked="0"/>
    </xf>
    <xf numFmtId="0" fontId="154" fillId="0" borderId="98" xfId="1" applyFont="1" applyBorder="1" applyAlignment="1" applyProtection="1">
      <alignment horizontal="center" vertical="center"/>
      <protection locked="0"/>
    </xf>
    <xf numFmtId="0" fontId="154" fillId="0" borderId="220" xfId="1" applyFont="1" applyBorder="1" applyAlignment="1" applyProtection="1">
      <alignment horizontal="center" vertical="center"/>
      <protection locked="0"/>
    </xf>
    <xf numFmtId="0" fontId="154" fillId="0" borderId="221" xfId="1" applyFont="1" applyBorder="1" applyAlignment="1" applyProtection="1">
      <alignment horizontal="center" vertical="center"/>
      <protection locked="0"/>
    </xf>
    <xf numFmtId="0" fontId="57" fillId="0" borderId="33" xfId="0" applyFont="1" applyBorder="1" applyAlignment="1" applyProtection="1">
      <alignment horizontal="center"/>
      <protection hidden="1"/>
    </xf>
    <xf numFmtId="0" fontId="57" fillId="0" borderId="34" xfId="0" applyFont="1" applyBorder="1" applyAlignment="1" applyProtection="1">
      <alignment horizontal="center"/>
      <protection hidden="1"/>
    </xf>
    <xf numFmtId="0" fontId="57" fillId="0" borderId="35" xfId="0" applyFont="1" applyBorder="1" applyAlignment="1" applyProtection="1">
      <alignment horizontal="center"/>
      <protection hidden="1"/>
    </xf>
    <xf numFmtId="0" fontId="57" fillId="0" borderId="36" xfId="0" applyFont="1" applyBorder="1" applyAlignment="1" applyProtection="1">
      <alignment horizontal="center"/>
      <protection hidden="1"/>
    </xf>
    <xf numFmtId="0" fontId="57" fillId="0" borderId="37" xfId="0" applyFont="1" applyBorder="1" applyAlignment="1" applyProtection="1">
      <alignment horizontal="center"/>
      <protection hidden="1"/>
    </xf>
    <xf numFmtId="0" fontId="57" fillId="0" borderId="38" xfId="0" applyFont="1" applyBorder="1" applyAlignment="1" applyProtection="1">
      <alignment horizontal="center"/>
      <protection hidden="1"/>
    </xf>
    <xf numFmtId="0" fontId="50" fillId="0" borderId="7" xfId="0" applyFont="1" applyBorder="1" applyAlignment="1" applyProtection="1">
      <alignment horizontal="center" vertical="center" textRotation="90"/>
      <protection hidden="1"/>
    </xf>
    <xf numFmtId="0" fontId="27" fillId="0" borderId="0" xfId="0" applyFont="1" applyAlignment="1" applyProtection="1">
      <alignment horizontal="center" vertical="center"/>
      <protection hidden="1"/>
    </xf>
    <xf numFmtId="0" fontId="125" fillId="0" borderId="0" xfId="0" applyFont="1" applyAlignment="1" applyProtection="1">
      <alignment horizontal="left" vertical="center" wrapText="1"/>
      <protection hidden="1"/>
    </xf>
    <xf numFmtId="0" fontId="57" fillId="0" borderId="46" xfId="0" applyFont="1" applyBorder="1" applyAlignment="1" applyProtection="1">
      <alignment horizontal="left" vertical="center" wrapText="1"/>
      <protection hidden="1"/>
    </xf>
    <xf numFmtId="0" fontId="27" fillId="0" borderId="0" xfId="0" applyFont="1" applyAlignment="1" applyProtection="1">
      <alignment horizontal="left" vertical="center" wrapText="1"/>
      <protection hidden="1"/>
    </xf>
    <xf numFmtId="0" fontId="57" fillId="0" borderId="45" xfId="0" applyFont="1" applyBorder="1" applyAlignment="1" applyProtection="1">
      <alignment horizontal="left" vertical="center" wrapText="1"/>
      <protection hidden="1"/>
    </xf>
    <xf numFmtId="0" fontId="57" fillId="0" borderId="0" xfId="0" applyFont="1" applyAlignment="1" applyProtection="1">
      <alignment horizontal="left" vertical="center" wrapText="1"/>
      <protection hidden="1"/>
    </xf>
    <xf numFmtId="0" fontId="85" fillId="0" borderId="114" xfId="0" applyFont="1" applyBorder="1" applyAlignment="1" applyProtection="1">
      <alignment horizontal="left" vertical="center" wrapText="1"/>
      <protection hidden="1"/>
    </xf>
    <xf numFmtId="0" fontId="85" fillId="0" borderId="115" xfId="0" applyFont="1" applyBorder="1" applyAlignment="1" applyProtection="1">
      <alignment horizontal="left" vertical="center" wrapText="1"/>
      <protection hidden="1"/>
    </xf>
    <xf numFmtId="0" fontId="85" fillId="0" borderId="116" xfId="0" applyFont="1" applyBorder="1" applyAlignment="1" applyProtection="1">
      <alignment horizontal="left" vertical="center" wrapText="1"/>
      <protection hidden="1"/>
    </xf>
    <xf numFmtId="0" fontId="77" fillId="0" borderId="117" xfId="0" applyFont="1" applyBorder="1" applyAlignment="1" applyProtection="1">
      <alignment horizontal="left" vertical="center" wrapText="1"/>
      <protection hidden="1"/>
    </xf>
    <xf numFmtId="0" fontId="77" fillId="0" borderId="118" xfId="0" applyFont="1" applyBorder="1" applyAlignment="1" applyProtection="1">
      <alignment horizontal="left" vertical="center" wrapText="1"/>
      <protection hidden="1"/>
    </xf>
    <xf numFmtId="0" fontId="77" fillId="0" borderId="119" xfId="0" applyFont="1" applyBorder="1" applyAlignment="1" applyProtection="1">
      <alignment horizontal="left" vertical="center" wrapText="1"/>
      <protection hidden="1"/>
    </xf>
    <xf numFmtId="0" fontId="77" fillId="0" borderId="120" xfId="0" applyFont="1" applyBorder="1" applyAlignment="1" applyProtection="1">
      <alignment horizontal="left" vertical="center" wrapText="1"/>
      <protection hidden="1"/>
    </xf>
    <xf numFmtId="0" fontId="77" fillId="0" borderId="0" xfId="0" applyFont="1" applyAlignment="1" applyProtection="1">
      <alignment horizontal="left" vertical="center" wrapText="1"/>
      <protection hidden="1"/>
    </xf>
    <xf numFmtId="0" fontId="77" fillId="0" borderId="121" xfId="0" applyFont="1" applyBorder="1" applyAlignment="1" applyProtection="1">
      <alignment horizontal="left" vertical="center" wrapText="1"/>
      <protection hidden="1"/>
    </xf>
    <xf numFmtId="0" fontId="67" fillId="26" borderId="241" xfId="0" applyFont="1" applyFill="1" applyBorder="1" applyAlignment="1" applyProtection="1">
      <alignment horizontal="center" vertical="center" wrapText="1"/>
      <protection hidden="1"/>
    </xf>
    <xf numFmtId="0" fontId="67" fillId="26" borderId="242" xfId="0" applyFont="1" applyFill="1" applyBorder="1" applyAlignment="1" applyProtection="1">
      <alignment horizontal="center" vertical="center" wrapText="1"/>
      <protection hidden="1"/>
    </xf>
    <xf numFmtId="0" fontId="67" fillId="26" borderId="243" xfId="0" applyFont="1" applyFill="1" applyBorder="1" applyAlignment="1" applyProtection="1">
      <alignment horizontal="center" vertical="center" wrapText="1"/>
      <protection hidden="1"/>
    </xf>
    <xf numFmtId="0" fontId="67" fillId="26" borderId="239" xfId="0" applyFont="1" applyFill="1" applyBorder="1" applyAlignment="1" applyProtection="1">
      <alignment horizontal="center" vertical="center" wrapText="1"/>
      <protection hidden="1"/>
    </xf>
    <xf numFmtId="0" fontId="67" fillId="26" borderId="0" xfId="0" applyFont="1" applyFill="1" applyAlignment="1" applyProtection="1">
      <alignment horizontal="center" vertical="center" wrapText="1"/>
      <protection hidden="1"/>
    </xf>
    <xf numFmtId="0" fontId="67" fillId="26" borderId="240" xfId="0" applyFont="1" applyFill="1" applyBorder="1" applyAlignment="1" applyProtection="1">
      <alignment horizontal="center" vertical="center" wrapText="1"/>
      <protection hidden="1"/>
    </xf>
    <xf numFmtId="0" fontId="161" fillId="26" borderId="236" xfId="0" applyFont="1" applyFill="1" applyBorder="1" applyAlignment="1" applyProtection="1">
      <alignment horizontal="center" vertical="center" wrapText="1"/>
      <protection hidden="1"/>
    </xf>
    <xf numFmtId="0" fontId="161" fillId="26" borderId="237" xfId="0" applyFont="1" applyFill="1" applyBorder="1" applyAlignment="1" applyProtection="1">
      <alignment horizontal="center" vertical="center" wrapText="1"/>
      <protection hidden="1"/>
    </xf>
    <xf numFmtId="0" fontId="161" fillId="26" borderId="238" xfId="0" applyFont="1" applyFill="1" applyBorder="1" applyAlignment="1" applyProtection="1">
      <alignment horizontal="center" vertical="center" wrapText="1"/>
      <protection hidden="1"/>
    </xf>
    <xf numFmtId="0" fontId="117" fillId="0" borderId="0" xfId="0" applyFont="1" applyAlignment="1" applyProtection="1">
      <alignment horizontal="left" vertical="center" wrapText="1"/>
      <protection hidden="1"/>
    </xf>
    <xf numFmtId="0" fontId="149" fillId="0" borderId="0" xfId="0" applyFont="1" applyAlignment="1" applyProtection="1">
      <alignment horizontal="left" wrapText="1"/>
      <protection hidden="1"/>
    </xf>
    <xf numFmtId="0" fontId="92" fillId="0" borderId="0" xfId="0" applyFont="1" applyAlignment="1" applyProtection="1">
      <alignment horizontal="left" vertical="center" wrapText="1"/>
      <protection hidden="1"/>
    </xf>
    <xf numFmtId="0" fontId="77" fillId="0" borderId="122" xfId="0" applyFont="1" applyBorder="1" applyAlignment="1" applyProtection="1">
      <alignment horizontal="left" vertical="center" wrapText="1"/>
      <protection hidden="1"/>
    </xf>
    <xf numFmtId="0" fontId="77" fillId="0" borderId="123" xfId="0" applyFont="1" applyBorder="1" applyAlignment="1" applyProtection="1">
      <alignment horizontal="left" vertical="center" wrapText="1"/>
      <protection hidden="1"/>
    </xf>
    <xf numFmtId="0" fontId="77" fillId="0" borderId="124" xfId="0" applyFont="1" applyBorder="1" applyAlignment="1" applyProtection="1">
      <alignment horizontal="left" vertical="center" wrapText="1"/>
      <protection hidden="1"/>
    </xf>
    <xf numFmtId="0" fontId="77" fillId="0" borderId="0" xfId="0" quotePrefix="1" applyFont="1" applyAlignment="1" applyProtection="1">
      <alignment horizontal="left" vertical="center" wrapText="1"/>
      <protection hidden="1"/>
    </xf>
    <xf numFmtId="0" fontId="117" fillId="0" borderId="0" xfId="0" applyFont="1" applyAlignment="1" applyProtection="1">
      <alignment horizontal="left" vertical="center"/>
      <protection hidden="1"/>
    </xf>
  </cellXfs>
  <cellStyles count="29">
    <cellStyle name="%" xfId="26" xr:uid="{073242BB-6985-4977-ACF1-7609465FD9C2}"/>
    <cellStyle name="%_Mappe1" xfId="25" xr:uid="{30A971BB-36B5-4380-9B2B-78A58CC94B1D}"/>
    <cellStyle name="Auswahl_Datum" xfId="4" xr:uid="{00000000-0005-0000-0000-000000000000}"/>
    <cellStyle name="Auswahl1" xfId="2" xr:uid="{00000000-0005-0000-0000-000001000000}"/>
    <cellStyle name="Auswahl2" xfId="3" xr:uid="{00000000-0005-0000-0000-000002000000}"/>
    <cellStyle name="Feiertage 1" xfId="23" xr:uid="{00000000-0005-0000-0000-000003000000}"/>
    <cellStyle name="Ferien" xfId="5" xr:uid="{00000000-0005-0000-0000-000004000000}"/>
    <cellStyle name="Geburtstag" xfId="13" xr:uid="{00000000-0005-0000-0000-000005000000}"/>
    <cellStyle name="heller" xfId="6" xr:uid="{00000000-0005-0000-0000-000006000000}"/>
    <cellStyle name="heller2" xfId="7" xr:uid="{00000000-0005-0000-0000-000007000000}"/>
    <cellStyle name="Link" xfId="1" builtinId="8"/>
    <cellStyle name="Monat gerade Überschrift" xfId="28" xr:uid="{EE5E7A46-FE2B-4A0E-800E-88E9F75E381F}"/>
    <cellStyle name="Monat ungerade Überschrift" xfId="27" xr:uid="{1637F611-93A1-45E5-9E91-FA0FF27DD90B}"/>
    <cellStyle name="Nichts" xfId="8" xr:uid="{00000000-0005-0000-0000-000009000000}"/>
    <cellStyle name="Rahmen" xfId="24" xr:uid="{00000000-0005-0000-0000-00000A000000}"/>
    <cellStyle name="rot" xfId="14" xr:uid="{00000000-0005-0000-0000-00000B000000}"/>
    <cellStyle name="Sonntag" xfId="15" xr:uid="{00000000-0005-0000-0000-00000C000000}"/>
    <cellStyle name="Sonntag 2" xfId="16" xr:uid="{00000000-0005-0000-0000-00000D000000}"/>
    <cellStyle name="Standard" xfId="0" builtinId="0"/>
    <cellStyle name="Unbenannt1" xfId="17" xr:uid="{00000000-0005-0000-0000-00000F000000}"/>
    <cellStyle name="Unbenannt2" xfId="18" xr:uid="{00000000-0005-0000-0000-000010000000}"/>
    <cellStyle name="Unbenannt3" xfId="19" xr:uid="{00000000-0005-0000-0000-000011000000}"/>
    <cellStyle name="Unbenannt4" xfId="20" xr:uid="{00000000-0005-0000-0000-000012000000}"/>
    <cellStyle name="Unbenannt5" xfId="21" xr:uid="{00000000-0005-0000-0000-000013000000}"/>
    <cellStyle name="WE1" xfId="9" xr:uid="{00000000-0005-0000-0000-000014000000}"/>
    <cellStyle name="WE2" xfId="10" xr:uid="{00000000-0005-0000-0000-000015000000}"/>
    <cellStyle name="WE3" xfId="11" xr:uid="{00000000-0005-0000-0000-000016000000}"/>
    <cellStyle name="weiss" xfId="12" xr:uid="{00000000-0005-0000-0000-000017000000}"/>
    <cellStyle name="Wochenende 2" xfId="22" xr:uid="{00000000-0005-0000-0000-000018000000}"/>
  </cellStyles>
  <dxfs count="156">
    <dxf>
      <font>
        <b/>
        <i val="0"/>
        <color rgb="FFFF0000"/>
      </font>
    </dxf>
    <dxf>
      <font>
        <color rgb="FFFF0000"/>
        <family val="2"/>
      </font>
      <fill>
        <patternFill patternType="none"/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u val="none"/>
        <color rgb="FFFF0000"/>
        <family val="2"/>
      </font>
      <fill>
        <patternFill patternType="none"/>
      </fill>
    </dxf>
    <dxf>
      <font>
        <b/>
        <i val="0"/>
        <u val="none"/>
        <color rgb="FFFF0000"/>
        <family val="2"/>
      </font>
      <fill>
        <patternFill patternType="none"/>
      </fill>
    </dxf>
    <dxf>
      <font>
        <color theme="0"/>
      </font>
    </dxf>
    <dxf>
      <font>
        <color auto="1"/>
      </font>
      <fill>
        <patternFill>
          <bgColor theme="1"/>
        </patternFill>
      </fill>
    </dxf>
    <dxf>
      <font>
        <color auto="1"/>
      </font>
      <fill>
        <patternFill patternType="solid">
          <bgColor theme="1"/>
        </patternFill>
      </fill>
    </dxf>
    <dxf>
      <font>
        <color auto="1"/>
      </font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CC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CCFF99"/>
        </patternFill>
      </fill>
    </dxf>
    <dxf>
      <fill>
        <patternFill patternType="none">
          <bgColor auto="1"/>
        </patternFill>
      </fill>
    </dxf>
    <dxf>
      <font>
        <b val="0"/>
        <condense val="0"/>
        <extend val="0"/>
        <sz val="11"/>
        <color indexed="45"/>
      </font>
      <fill>
        <patternFill patternType="solid">
          <fgColor indexed="47"/>
          <bgColor indexed="45"/>
        </patternFill>
      </fill>
    </dxf>
    <dxf>
      <font>
        <b val="0"/>
        <condense val="0"/>
        <extend val="0"/>
        <sz val="11"/>
        <color indexed="46"/>
      </font>
      <fill>
        <patternFill patternType="solid">
          <fgColor indexed="22"/>
          <bgColor indexed="46"/>
        </patternFill>
      </fill>
    </dxf>
    <dxf>
      <font>
        <b val="0"/>
        <condense val="0"/>
        <extend val="0"/>
        <sz val="11"/>
        <color indexed="43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sz val="11"/>
        <color indexed="45"/>
      </font>
      <fill>
        <patternFill patternType="solid">
          <fgColor indexed="47"/>
          <bgColor indexed="45"/>
        </patternFill>
      </fill>
    </dxf>
    <dxf>
      <font>
        <b val="0"/>
        <condense val="0"/>
        <extend val="0"/>
        <sz val="11"/>
        <color indexed="46"/>
      </font>
      <fill>
        <patternFill patternType="solid">
          <fgColor indexed="22"/>
          <bgColor indexed="46"/>
        </patternFill>
      </fill>
    </dxf>
    <dxf>
      <font>
        <b val="0"/>
        <condense val="0"/>
        <extend val="0"/>
        <sz val="11"/>
        <color indexed="43"/>
      </font>
      <fill>
        <patternFill patternType="solid">
          <fgColor indexed="26"/>
          <bgColor indexed="43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00CC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ont>
        <b/>
        <i val="0"/>
        <color theme="8" tint="-0.24994659260841701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CFFFF"/>
        </patternFill>
      </fill>
    </dxf>
    <dxf>
      <font>
        <b/>
        <i val="0"/>
        <color theme="8" tint="-0.24994659260841701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FF0000"/>
      </font>
      <fill>
        <patternFill>
          <bgColor theme="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 val="0"/>
        <i val="0"/>
        <condense val="0"/>
        <extend val="0"/>
        <color indexed="63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i val="0"/>
        <condense val="0"/>
        <extend val="0"/>
        <color indexed="63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i val="0"/>
        <condense val="0"/>
        <extend val="0"/>
        <color indexed="63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i val="0"/>
        <condense val="0"/>
        <extend val="0"/>
        <color indexed="63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i val="0"/>
        <condense val="0"/>
        <extend val="0"/>
        <color indexed="63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i val="0"/>
        <condense val="0"/>
        <extend val="0"/>
        <color indexed="63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i val="0"/>
        <condense val="0"/>
        <extend val="0"/>
        <color indexed="63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i val="0"/>
        <condense val="0"/>
        <extend val="0"/>
        <color indexed="63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i val="0"/>
        <condense val="0"/>
        <extend val="0"/>
        <color indexed="63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i val="0"/>
        <condense val="0"/>
        <extend val="0"/>
        <color indexed="63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i val="0"/>
        <condense val="0"/>
        <extend val="0"/>
        <color indexed="63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FF0000"/>
        </patternFill>
      </fill>
      <border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border>
        <left/>
        <right/>
        <top/>
        <bottom/>
        <vertical/>
        <horizontal/>
      </border>
    </dxf>
    <dxf>
      <font>
        <b/>
        <i val="0"/>
        <strike val="0"/>
        <color rgb="FFFF0000"/>
      </font>
      <fill>
        <patternFill>
          <bgColor rgb="FF99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condense val="0"/>
        <extend val="0"/>
        <color indexed="63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1"/>
          <bgColor indexed="31"/>
        </patternFill>
      </fill>
    </dxf>
    <dxf>
      <fill>
        <patternFill patternType="solid">
          <fgColor indexed="41"/>
          <bgColor indexed="3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auto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FFFF00"/>
      </font>
      <fill>
        <patternFill>
          <bgColor rgb="FF0000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0070C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99"/>
      </font>
      <fill>
        <patternFill>
          <bgColor theme="9" tint="-0.2499465926084170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rgb="FFFF000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FFFF00"/>
      </font>
      <fill>
        <patternFill>
          <bgColor rgb="FF7030A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condense val="0"/>
        <extend val="0"/>
        <color indexed="63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i val="0"/>
        <condense val="0"/>
        <extend val="0"/>
        <color indexed="63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i val="0"/>
        <condense val="0"/>
        <extend val="0"/>
        <color indexed="63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i val="0"/>
        <condense val="0"/>
        <extend val="0"/>
        <color indexed="63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i val="0"/>
        <condense val="0"/>
        <extend val="0"/>
        <color indexed="63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i val="0"/>
        <condense val="0"/>
        <extend val="0"/>
        <color indexed="63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i val="0"/>
        <condense val="0"/>
        <extend val="0"/>
        <color indexed="63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i val="0"/>
        <condense val="0"/>
        <extend val="0"/>
        <color indexed="63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i val="0"/>
        <condense val="0"/>
        <extend val="0"/>
        <color indexed="63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i val="0"/>
        <condense val="0"/>
        <extend val="0"/>
        <color indexed="63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i val="0"/>
        <condense val="0"/>
        <extend val="0"/>
        <color indexed="63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i val="0"/>
        <condense val="0"/>
        <extend val="0"/>
        <color indexed="63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i val="0"/>
        <condense val="0"/>
        <extend val="0"/>
        <color indexed="63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41"/>
          <bgColor indexed="31"/>
        </patternFill>
      </fill>
    </dxf>
    <dxf>
      <fill>
        <patternFill patternType="solid">
          <fgColor indexed="41"/>
          <bgColor indexed="3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1"/>
      </font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FF0000"/>
      </font>
      <fill>
        <patternFill>
          <bgColor rgb="FF96FB4B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condense val="0"/>
        <extend val="0"/>
        <color indexed="63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i val="0"/>
        <condense val="0"/>
        <extend val="0"/>
        <color indexed="63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i val="0"/>
        <condense val="0"/>
        <extend val="0"/>
        <color indexed="63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i val="0"/>
        <condense val="0"/>
        <extend val="0"/>
        <color indexed="63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i val="0"/>
        <condense val="0"/>
        <extend val="0"/>
        <color indexed="63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i val="0"/>
        <condense val="0"/>
        <extend val="0"/>
        <color indexed="63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/>
        <i val="0"/>
        <color rgb="FFFF0000"/>
      </font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FF0000"/>
      </font>
      <fill>
        <patternFill patternType="solid"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FF0000"/>
      </font>
      <fill>
        <patternFill patternType="solid"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condense val="0"/>
        <extend val="0"/>
        <color indexed="63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i val="0"/>
        <condense val="0"/>
        <extend val="0"/>
        <color indexed="63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i val="0"/>
        <condense val="0"/>
        <extend val="0"/>
        <color indexed="63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i val="0"/>
        <condense val="0"/>
        <extend val="0"/>
        <color indexed="63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i val="0"/>
        <condense val="0"/>
        <extend val="0"/>
        <color indexed="63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i val="0"/>
        <condense val="0"/>
        <extend val="0"/>
        <color indexed="63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i val="0"/>
        <condense val="0"/>
        <extend val="0"/>
        <color indexed="63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25"/>
          <bgColor indexed="53"/>
        </patternFill>
      </fill>
    </dxf>
    <dxf>
      <font>
        <b val="0"/>
        <i val="0"/>
        <condense val="0"/>
        <extend val="0"/>
        <color indexed="9"/>
      </font>
    </dxf>
    <dxf>
      <fill>
        <patternFill patternType="solid">
          <fgColor indexed="25"/>
          <bgColor indexed="53"/>
        </patternFill>
      </fill>
    </dxf>
    <dxf>
      <font>
        <b val="0"/>
        <i val="0"/>
        <condense val="0"/>
        <extend val="0"/>
        <color indexed="9"/>
      </font>
    </dxf>
    <dxf>
      <font>
        <color theme="0"/>
      </font>
    </dxf>
    <dxf>
      <font>
        <color rgb="FFFF0000"/>
      </font>
      <fill>
        <patternFill>
          <bgColor rgb="FFFF0000"/>
        </patternFill>
      </fill>
    </dxf>
    <dxf>
      <font>
        <b val="0"/>
        <i val="0"/>
        <condense val="0"/>
        <extend val="0"/>
        <color indexed="63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i val="0"/>
        <condense val="0"/>
        <extend val="0"/>
        <color indexed="63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i val="0"/>
        <condense val="0"/>
        <extend val="0"/>
        <color indexed="63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i val="0"/>
        <condense val="0"/>
        <extend val="0"/>
        <color indexed="63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i val="0"/>
        <condense val="0"/>
        <extend val="0"/>
        <color indexed="63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i val="0"/>
        <condense val="0"/>
        <extend val="0"/>
        <color indexed="63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i val="0"/>
        <condense val="0"/>
        <extend val="0"/>
        <color indexed="63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i val="0"/>
        <condense val="0"/>
        <extend val="0"/>
        <color indexed="63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i val="0"/>
        <condense val="0"/>
        <extend val="0"/>
        <color indexed="63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ill>
        <patternFill patternType="solid">
          <fgColor indexed="25"/>
          <bgColor indexed="53"/>
        </patternFill>
      </fill>
    </dxf>
    <dxf>
      <fill>
        <patternFill patternType="solid">
          <fgColor indexed="41"/>
          <bgColor indexed="31"/>
        </patternFill>
      </fill>
    </dxf>
    <dxf>
      <fill>
        <patternFill patternType="solid">
          <fgColor indexed="41"/>
          <bgColor indexed="31"/>
        </patternFill>
      </fill>
    </dxf>
    <dxf>
      <fill>
        <patternFill patternType="solid">
          <fgColor indexed="41"/>
          <bgColor indexed="31"/>
        </patternFill>
      </fill>
    </dxf>
    <dxf>
      <fill>
        <patternFill patternType="solid">
          <fgColor indexed="41"/>
          <bgColor indexed="31"/>
        </patternFill>
      </fill>
    </dxf>
    <dxf>
      <fill>
        <patternFill patternType="solid">
          <fgColor indexed="41"/>
          <bgColor indexed="31"/>
        </patternFill>
      </fill>
    </dxf>
    <dxf>
      <fill>
        <patternFill patternType="solid">
          <fgColor indexed="41"/>
          <bgColor indexed="31"/>
        </patternFill>
      </fill>
    </dxf>
    <dxf>
      <fill>
        <patternFill patternType="solid">
          <fgColor indexed="41"/>
          <bgColor indexed="31"/>
        </patternFill>
      </fill>
    </dxf>
    <dxf>
      <fill>
        <patternFill patternType="solid">
          <fgColor indexed="41"/>
          <bgColor indexed="31"/>
        </patternFill>
      </fill>
    </dxf>
    <dxf>
      <fill>
        <patternFill patternType="solid">
          <fgColor indexed="41"/>
          <bgColor indexed="31"/>
        </patternFill>
      </fill>
    </dxf>
    <dxf>
      <fill>
        <patternFill patternType="solid">
          <fgColor indexed="41"/>
          <bgColor indexed="31"/>
        </patternFill>
      </fill>
    </dxf>
    <dxf>
      <fill>
        <patternFill patternType="solid">
          <fgColor indexed="41"/>
          <bgColor indexed="31"/>
        </patternFill>
      </fill>
    </dxf>
    <dxf>
      <fill>
        <patternFill patternType="solid">
          <fgColor indexed="41"/>
          <bgColor indexed="31"/>
        </patternFill>
      </fill>
    </dxf>
    <dxf>
      <fill>
        <patternFill patternType="solid">
          <fgColor indexed="41"/>
          <bgColor indexed="31"/>
        </patternFill>
      </fill>
    </dxf>
    <dxf>
      <fill>
        <patternFill patternType="solid">
          <fgColor indexed="41"/>
          <bgColor indexed="31"/>
        </patternFill>
      </fill>
    </dxf>
    <dxf>
      <fill>
        <patternFill patternType="solid">
          <fgColor indexed="41"/>
          <bgColor indexed="31"/>
        </patternFill>
      </fill>
    </dxf>
    <dxf>
      <fill>
        <patternFill patternType="solid">
          <fgColor indexed="25"/>
          <bgColor indexed="53"/>
        </patternFill>
      </fill>
    </dxf>
    <dxf>
      <font>
        <color rgb="FF00B050"/>
      </font>
      <fill>
        <patternFill>
          <bgColor rgb="FF00B050"/>
        </patternFill>
      </fill>
    </dxf>
    <dxf>
      <font>
        <color rgb="FF5B9BD5"/>
      </font>
      <fill>
        <patternFill>
          <bgColor theme="4"/>
        </patternFill>
      </fill>
      <border>
        <left/>
        <right/>
        <top/>
        <bottom/>
        <vertical/>
        <horizontal/>
      </border>
    </dxf>
    <dxf>
      <font>
        <b val="0"/>
        <i val="0"/>
        <condense val="0"/>
        <extend val="0"/>
        <color indexed="63"/>
      </font>
      <fill>
        <patternFill patternType="none">
          <fgColor indexed="64"/>
          <bgColor indexed="65"/>
        </patternFill>
      </fill>
      <border>
        <left style="hair">
          <color indexed="22"/>
        </left>
        <right style="hair">
          <color indexed="22"/>
        </right>
        <top style="hair">
          <color indexed="22"/>
        </top>
        <bottom style="hair">
          <color indexed="22"/>
        </bottom>
      </border>
    </dxf>
    <dxf>
      <font>
        <b/>
        <i val="0"/>
        <color rgb="FFFF0000"/>
      </font>
    </dxf>
    <dxf>
      <font>
        <b/>
        <i val="0"/>
        <color theme="1"/>
      </font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  <fill>
        <patternFill>
          <bgColor rgb="FFCCFFFF"/>
        </patternFill>
      </fill>
    </dxf>
    <dxf>
      <font>
        <b/>
        <i val="0"/>
        <color auto="1"/>
      </font>
      <fill>
        <patternFill>
          <bgColor rgb="FFFFFF00"/>
        </patternFill>
      </fill>
    </dxf>
    <dxf>
      <font>
        <color theme="1"/>
      </font>
      <fill>
        <patternFill>
          <bgColor rgb="FFCCFFFF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  <fill>
        <patternFill>
          <bgColor rgb="FFCCFFFF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  <fill>
        <patternFill>
          <bgColor rgb="FFCCFFFF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  <fill>
        <patternFill>
          <bgColor rgb="FFCCFFFF"/>
        </patternFill>
      </fill>
    </dxf>
    <dxf>
      <font>
        <color theme="1"/>
      </font>
      <fill>
        <patternFill>
          <bgColor rgb="FFCCFFFF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  <fill>
        <patternFill>
          <bgColor rgb="FFCCFFFF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  <fill>
        <patternFill>
          <bgColor rgb="FFCCFFFF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  <fill>
        <patternFill>
          <bgColor rgb="FFCCFFFF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  <fill>
        <patternFill>
          <bgColor rgb="FFCCFFFF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  <fill>
        <patternFill>
          <bgColor rgb="FFCCFFFF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3333FF"/>
      <rgbColor rgb="00FFFF00"/>
      <rgbColor rgb="00CC00CC"/>
      <rgbColor rgb="0000FFFF"/>
      <rgbColor rgb="00800000"/>
      <rgbColor rgb="00008000"/>
      <rgbColor rgb="00000080"/>
      <rgbColor rgb="00808000"/>
      <rgbColor rgb="00800080"/>
      <rgbColor rgb="00006699"/>
      <rgbColor rgb="00C0C0C0"/>
      <rgbColor rgb="005B9BD5"/>
      <rgbColor rgb="008FAADC"/>
      <rgbColor rgb="00FF3366"/>
      <rgbColor rgb="00FFFFCC"/>
      <rgbColor rgb="00CCFFFF"/>
      <rgbColor rgb="00660066"/>
      <rgbColor rgb="00FF8080"/>
      <rgbColor rgb="000563C1"/>
      <rgbColor rgb="00E6E6FF"/>
      <rgbColor rgb="00000080"/>
      <rgbColor rgb="00FF00FF"/>
      <rgbColor rgb="00FFFF00"/>
      <rgbColor rgb="0000FFFF"/>
      <rgbColor rgb="00800080"/>
      <rgbColor rgb="00800000"/>
      <rgbColor rgb="000070C0"/>
      <rgbColor rgb="000000FF"/>
      <rgbColor rgb="0000CCFF"/>
      <rgbColor rgb="00EEEEEE"/>
      <rgbColor rgb="00CCFFCC"/>
      <rgbColor rgb="00FFFF99"/>
      <rgbColor rgb="0066FFFF"/>
      <rgbColor rgb="00FF66FF"/>
      <rgbColor rgb="006666FF"/>
      <rgbColor rgb="00FFCCCC"/>
      <rgbColor rgb="004472C4"/>
      <rgbColor rgb="0033CCCC"/>
      <rgbColor rgb="0099FF33"/>
      <rgbColor rgb="00FFCC00"/>
      <rgbColor rgb="00FF9900"/>
      <rgbColor rgb="00FF3333"/>
      <rgbColor rgb="003465A4"/>
      <rgbColor rgb="00729FCF"/>
      <rgbColor rgb="002F5597"/>
      <rgbColor rgb="00339966"/>
      <rgbColor rgb="00003300"/>
      <rgbColor rgb="00333300"/>
      <rgbColor rgb="00993300"/>
      <rgbColor rgb="00993366"/>
      <rgbColor rgb="00333399"/>
      <rgbColor rgb="004C4C4C"/>
    </indexedColors>
    <mruColors>
      <color rgb="FFCCFFFF"/>
      <color rgb="FF0000CC"/>
      <color rgb="FF99FF99"/>
      <color rgb="FF3399FF"/>
      <color rgb="FFFFFFCC"/>
      <color rgb="FF96FB4B"/>
      <color rgb="FFFFCCFF"/>
      <color rgb="FFF4AAF0"/>
      <color rgb="FF99FFCC"/>
      <color rgb="FF5B9B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2438568</xdr:colOff>
      <xdr:row>0</xdr:row>
      <xdr:rowOff>99998</xdr:rowOff>
    </xdr:from>
    <xdr:ext cx="7243393" cy="626582"/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/>
        </xdr:cNvSpPr>
      </xdr:nvSpPr>
      <xdr:spPr>
        <a:xfrm>
          <a:off x="7074833" y="99998"/>
          <a:ext cx="7243393" cy="626582"/>
        </a:xfrm>
        <a:prstGeom prst="rect">
          <a:avLst/>
        </a:prstGeom>
        <a:noFill/>
      </xdr:spPr>
      <xdr:txBody>
        <a:bodyPr wrap="none" lIns="91440" tIns="45720" rIns="91440" bIns="45720" anchor="ctr">
          <a:spAutoFit/>
        </a:bodyPr>
        <a:lstStyle/>
        <a:p>
          <a:pPr algn="ctr"/>
          <a:r>
            <a:rPr lang="de-DE" sz="3600" b="1" cap="none" spc="0">
              <a:ln w="13462">
                <a:solidFill>
                  <a:schemeClr val="tx1"/>
                </a:solidFill>
                <a:prstDash val="solid"/>
              </a:ln>
              <a:solidFill>
                <a:srgbClr val="FFFF00"/>
              </a:solidFill>
              <a:effectLst>
                <a:glow rad="292100">
                  <a:schemeClr val="accent5">
                    <a:satMod val="175000"/>
                    <a:alpha val="40000"/>
                  </a:schemeClr>
                </a:glow>
                <a:outerShdw dist="38100" dir="2700000" algn="bl" rotWithShape="0">
                  <a:schemeClr val="accent5"/>
                </a:outerShdw>
              </a:effectLst>
              <a:latin typeface="Arial Rounded MT Bold" panose="020F0704030504030204" pitchFamily="34" charset="0"/>
            </a:rPr>
            <a:t>Geburtstags-u. Terminkalender</a:t>
          </a:r>
        </a:p>
      </xdr:txBody>
    </xdr:sp>
    <xdr:clientData/>
  </xdr:oneCellAnchor>
  <xdr:oneCellAnchor>
    <xdr:from>
      <xdr:col>10</xdr:col>
      <xdr:colOff>2275544</xdr:colOff>
      <xdr:row>4</xdr:row>
      <xdr:rowOff>125561</xdr:rowOff>
    </xdr:from>
    <xdr:ext cx="2955882" cy="526363"/>
    <xdr:sp macro="" textlink="">
      <xdr:nvSpPr>
        <xdr:cNvPr id="8" name="Rechteck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6911809" y="1571525"/>
          <a:ext cx="2955882" cy="526363"/>
        </a:xfrm>
        <a:prstGeom prst="rect">
          <a:avLst/>
        </a:prstGeom>
        <a:noFill/>
        <a:ln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de-DE" sz="2400" b="1" cap="none" spc="0">
              <a:ln w="13462">
                <a:noFill/>
                <a:prstDash val="solid"/>
              </a:ln>
              <a:solidFill>
                <a:srgbClr val="FF0000"/>
              </a:solidFill>
              <a:effectLst>
                <a:outerShdw dist="50800" dir="2700000" algn="bl" rotWithShape="0">
                  <a:schemeClr val="tx1"/>
                </a:outerShdw>
              </a:effectLst>
              <a:latin typeface="Arial Black" panose="020B0A04020102020204" pitchFamily="34" charset="0"/>
            </a:rPr>
            <a:t>Geburtstage</a:t>
          </a:r>
        </a:p>
      </xdr:txBody>
    </xdr:sp>
    <xdr:clientData/>
  </xdr:oneCellAnchor>
  <xdr:oneCellAnchor>
    <xdr:from>
      <xdr:col>16</xdr:col>
      <xdr:colOff>3966463</xdr:colOff>
      <xdr:row>4</xdr:row>
      <xdr:rowOff>134012</xdr:rowOff>
    </xdr:from>
    <xdr:ext cx="1569661" cy="526363"/>
    <xdr:sp macro="" textlink="">
      <xdr:nvSpPr>
        <xdr:cNvPr id="12" name="Rechteck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6417818" y="1579976"/>
          <a:ext cx="1569661" cy="52636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de-DE" sz="2400" b="1" cap="none" spc="0">
              <a:ln w="13462">
                <a:noFill/>
                <a:prstDash val="solid"/>
              </a:ln>
              <a:solidFill>
                <a:srgbClr val="0070C0"/>
              </a:solidFill>
              <a:effectLst>
                <a:outerShdw dist="50800" dir="2700000" algn="bl" rotWithShape="0">
                  <a:schemeClr val="tx1"/>
                </a:outerShdw>
              </a:effectLst>
              <a:latin typeface="Arial Black" panose="020B0A04020102020204" pitchFamily="34" charset="0"/>
              <a:ea typeface="+mn-ea"/>
              <a:cs typeface="+mn-cs"/>
            </a:rPr>
            <a:t>Termine</a:t>
          </a:r>
        </a:p>
      </xdr:txBody>
    </xdr:sp>
    <xdr:clientData/>
  </xdr:oneCellAnchor>
  <xdr:twoCellAnchor editAs="oneCell">
    <xdr:from>
      <xdr:col>10</xdr:col>
      <xdr:colOff>2657</xdr:colOff>
      <xdr:row>1</xdr:row>
      <xdr:rowOff>589323</xdr:rowOff>
    </xdr:from>
    <xdr:to>
      <xdr:col>21</xdr:col>
      <xdr:colOff>45903</xdr:colOff>
      <xdr:row>4</xdr:row>
      <xdr:rowOff>37086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73DDEEDD-31EB-4F66-80A7-A416DDAA17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922" y="727034"/>
          <a:ext cx="16878397" cy="7560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276225</xdr:colOff>
      <xdr:row>7</xdr:row>
      <xdr:rowOff>66675</xdr:rowOff>
    </xdr:from>
    <xdr:to>
      <xdr:col>4</xdr:col>
      <xdr:colOff>485775</xdr:colOff>
      <xdr:row>7</xdr:row>
      <xdr:rowOff>152400</xdr:rowOff>
    </xdr:to>
    <xdr:sp macro="" textlink="">
      <xdr:nvSpPr>
        <xdr:cNvPr id="4" name="Pfeil: nach links 3">
          <a:extLst>
            <a:ext uri="{FF2B5EF4-FFF2-40B4-BE49-F238E27FC236}">
              <a16:creationId xmlns:a16="http://schemas.microsoft.com/office/drawing/2014/main" id="{B8E7D6DA-754D-43B8-B554-A2DD8378ECC8}"/>
            </a:ext>
          </a:extLst>
        </xdr:cNvPr>
        <xdr:cNvSpPr/>
      </xdr:nvSpPr>
      <xdr:spPr>
        <a:xfrm>
          <a:off x="6296025" y="1495425"/>
          <a:ext cx="209550" cy="85725"/>
        </a:xfrm>
        <a:prstGeom prst="leftArrow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4</xdr:col>
      <xdr:colOff>276225</xdr:colOff>
      <xdr:row>7</xdr:row>
      <xdr:rowOff>66675</xdr:rowOff>
    </xdr:from>
    <xdr:to>
      <xdr:col>4</xdr:col>
      <xdr:colOff>485775</xdr:colOff>
      <xdr:row>7</xdr:row>
      <xdr:rowOff>152400</xdr:rowOff>
    </xdr:to>
    <xdr:sp macro="" textlink="">
      <xdr:nvSpPr>
        <xdr:cNvPr id="5" name="Pfeil: nach links 4">
          <a:extLst>
            <a:ext uri="{FF2B5EF4-FFF2-40B4-BE49-F238E27FC236}">
              <a16:creationId xmlns:a16="http://schemas.microsoft.com/office/drawing/2014/main" id="{9A95B5E2-545A-42D3-AAA3-3A3595AD8B8B}"/>
            </a:ext>
          </a:extLst>
        </xdr:cNvPr>
        <xdr:cNvSpPr/>
      </xdr:nvSpPr>
      <xdr:spPr>
        <a:xfrm>
          <a:off x="6296025" y="1495425"/>
          <a:ext cx="209550" cy="85725"/>
        </a:xfrm>
        <a:prstGeom prst="leftArrow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pskoordinaten.de/" TargetMode="External"/><Relationship Id="rId1" Type="http://schemas.openxmlformats.org/officeDocument/2006/relationships/hyperlink" Target="https://www.gpskoordinaten.de/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schulferien.org/deutschland/ferien/2023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mondkalender-tagesempfehlungen.de/mondkalender::wassertag:4.php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3"/>
  </sheetPr>
  <dimension ref="A1:BD1390"/>
  <sheetViews>
    <sheetView showGridLines="0" tabSelected="1" zoomScale="83" zoomScaleNormal="83" workbookViewId="0">
      <pane ySplit="30" topLeftCell="A31" activePane="bottomLeft" state="frozen"/>
      <selection pane="bottomLeft" activeCell="S18" sqref="S18:T18"/>
    </sheetView>
  </sheetViews>
  <sheetFormatPr baseColWidth="10" defaultColWidth="11.5703125" defaultRowHeight="15"/>
  <cols>
    <col min="1" max="1" width="5.42578125" style="65" customWidth="1"/>
    <col min="2" max="2" width="10.42578125" style="1" customWidth="1"/>
    <col min="3" max="3" width="3" style="2" customWidth="1"/>
    <col min="4" max="4" width="25.140625" style="3" customWidth="1"/>
    <col min="5" max="5" width="4.7109375" style="2" customWidth="1"/>
    <col min="6" max="9" width="4.7109375" style="4" customWidth="1"/>
    <col min="10" max="10" width="2.28515625" style="4" customWidth="1"/>
    <col min="11" max="11" width="45.42578125" style="5" customWidth="1"/>
    <col min="12" max="12" width="26.5703125" style="371" customWidth="1"/>
    <col min="13" max="13" width="16" style="372" customWidth="1"/>
    <col min="14" max="14" width="26.28515625" style="372" customWidth="1"/>
    <col min="15" max="15" width="1.5703125" style="373" customWidth="1"/>
    <col min="16" max="16" width="1.42578125" style="373" customWidth="1"/>
    <col min="17" max="17" width="71.42578125" style="6" customWidth="1"/>
    <col min="18" max="18" width="2.7109375" style="2" customWidth="1"/>
    <col min="19" max="19" width="12.42578125" style="4" customWidth="1"/>
    <col min="20" max="20" width="16.85546875" style="4" customWidth="1"/>
    <col min="21" max="21" width="31.85546875" style="6" customWidth="1"/>
    <col min="22" max="22" width="19.28515625" style="2" customWidth="1"/>
    <col min="23" max="23" width="11.5703125" style="2"/>
    <col min="24" max="25" width="3" style="2" customWidth="1"/>
    <col min="26" max="26" width="17.7109375" style="225" customWidth="1"/>
    <col min="27" max="27" width="32.42578125" style="225" customWidth="1"/>
    <col min="28" max="28" width="8.140625" style="225" customWidth="1"/>
    <col min="29" max="29" width="17" style="225" customWidth="1"/>
    <col min="30" max="31" width="30" style="225" customWidth="1"/>
    <col min="32" max="32" width="35.28515625" style="225" customWidth="1"/>
    <col min="33" max="33" width="17.42578125" style="225" customWidth="1"/>
    <col min="34" max="36" width="11.5703125" style="225"/>
    <col min="37" max="39" width="11.5703125" style="2"/>
    <col min="40" max="40" width="20.42578125" style="2" customWidth="1"/>
    <col min="41" max="42" width="11.5703125" style="2"/>
    <col min="43" max="43" width="16.7109375" style="2" customWidth="1"/>
    <col min="44" max="16384" width="11.5703125" style="2"/>
  </cols>
  <sheetData>
    <row r="1" spans="1:56" ht="11.25" customHeight="1" thickBot="1">
      <c r="A1" s="645"/>
      <c r="B1" s="645"/>
      <c r="C1" s="7"/>
      <c r="D1" s="8"/>
      <c r="E1" s="7"/>
      <c r="F1" s="7"/>
      <c r="G1" s="7"/>
      <c r="H1" s="7"/>
      <c r="I1" s="7"/>
      <c r="J1" s="7"/>
      <c r="K1" s="7"/>
      <c r="L1" s="354"/>
      <c r="M1" s="354"/>
      <c r="N1" s="354"/>
      <c r="O1" s="354"/>
      <c r="P1" s="354"/>
      <c r="Q1" s="7"/>
      <c r="R1" s="7"/>
      <c r="S1" s="7"/>
      <c r="T1" s="7"/>
      <c r="U1" s="7"/>
      <c r="V1" s="7"/>
      <c r="W1" s="7"/>
      <c r="X1" s="59"/>
      <c r="Y1" s="59"/>
      <c r="Z1" s="60"/>
      <c r="AA1" s="60"/>
      <c r="AB1" s="60"/>
      <c r="AC1" s="363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107"/>
      <c r="AQ1" s="107"/>
    </row>
    <row r="2" spans="1:56" s="12" customFormat="1" ht="47.25" customHeight="1" thickTop="1" thickBot="1">
      <c r="A2" s="645"/>
      <c r="B2" s="646">
        <f ca="1">IF(E21="",YEAR(TODAY()),YEAR(E21))</f>
        <v>2024</v>
      </c>
      <c r="C2" s="7"/>
      <c r="D2" s="730"/>
      <c r="E2" s="731"/>
      <c r="F2" s="731"/>
      <c r="G2" s="731"/>
      <c r="H2" s="731"/>
      <c r="I2" s="731"/>
      <c r="J2" s="731"/>
      <c r="K2" s="731"/>
      <c r="L2" s="731"/>
      <c r="M2" s="731"/>
      <c r="N2" s="731"/>
      <c r="O2" s="731"/>
      <c r="P2" s="731"/>
      <c r="Q2" s="731"/>
      <c r="R2" s="731"/>
      <c r="S2" s="731"/>
      <c r="T2" s="731"/>
      <c r="U2" s="732"/>
      <c r="V2" s="10"/>
      <c r="W2" s="7"/>
      <c r="X2" s="69"/>
      <c r="Y2" s="69"/>
      <c r="Z2" s="164"/>
      <c r="AA2" s="378"/>
      <c r="AB2" s="378"/>
      <c r="AC2" s="654"/>
      <c r="AD2" s="378"/>
      <c r="AE2" s="378"/>
      <c r="AF2" s="378"/>
      <c r="AG2" s="378"/>
      <c r="AH2" s="378"/>
      <c r="AI2" s="164"/>
      <c r="AJ2" s="164"/>
      <c r="AK2" s="164"/>
      <c r="AL2" s="164"/>
      <c r="AM2" s="164"/>
      <c r="AN2" s="164"/>
      <c r="AO2" s="164"/>
      <c r="AP2" s="114"/>
      <c r="AQ2" s="114"/>
      <c r="AR2" s="70"/>
      <c r="AS2" s="70"/>
      <c r="AT2" s="114"/>
      <c r="AU2" s="114"/>
      <c r="AV2" s="114"/>
      <c r="AW2" s="114"/>
      <c r="AX2" s="114"/>
      <c r="AY2" s="114"/>
      <c r="AZ2" s="11"/>
      <c r="BA2" s="11"/>
      <c r="BB2" s="11"/>
      <c r="BC2" s="11"/>
      <c r="BD2" s="11"/>
    </row>
    <row r="3" spans="1:56" s="17" customFormat="1" ht="14.25" customHeight="1" thickTop="1" thickBot="1">
      <c r="A3" s="645"/>
      <c r="B3" s="647"/>
      <c r="C3" s="10"/>
      <c r="D3" s="13">
        <v>1</v>
      </c>
      <c r="E3" s="14">
        <v>2</v>
      </c>
      <c r="F3" s="14">
        <v>3</v>
      </c>
      <c r="G3" s="14">
        <v>4</v>
      </c>
      <c r="H3" s="14">
        <v>5</v>
      </c>
      <c r="I3" s="14"/>
      <c r="J3" s="14">
        <v>6</v>
      </c>
      <c r="K3" s="14">
        <v>7</v>
      </c>
      <c r="L3" s="465">
        <v>8</v>
      </c>
      <c r="M3" s="465">
        <v>8</v>
      </c>
      <c r="N3" s="465">
        <v>8</v>
      </c>
      <c r="O3" s="465">
        <v>11</v>
      </c>
      <c r="P3" s="465"/>
      <c r="Q3" s="465">
        <v>10</v>
      </c>
      <c r="R3" s="14">
        <v>12</v>
      </c>
      <c r="S3" s="14">
        <v>11</v>
      </c>
      <c r="T3" s="14">
        <v>12</v>
      </c>
      <c r="U3" s="15">
        <v>16</v>
      </c>
      <c r="V3" s="10"/>
      <c r="W3" s="7"/>
      <c r="X3" s="62"/>
      <c r="Y3" s="62"/>
      <c r="Z3" s="165"/>
      <c r="AA3" s="60"/>
      <c r="AB3" s="60"/>
      <c r="AC3" s="363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107"/>
      <c r="AQ3" s="107"/>
      <c r="AR3" s="9"/>
      <c r="AS3" s="9"/>
      <c r="AT3" s="107"/>
      <c r="AU3" s="107"/>
      <c r="AV3" s="107"/>
      <c r="AW3" s="107"/>
      <c r="AX3" s="107"/>
      <c r="AY3" s="107"/>
      <c r="AZ3" s="16"/>
      <c r="BA3" s="16"/>
      <c r="BB3" s="16"/>
      <c r="BC3" s="16"/>
      <c r="BD3" s="16"/>
    </row>
    <row r="4" spans="1:56" s="17" customFormat="1" ht="41.25" customHeight="1" thickBot="1">
      <c r="A4" s="645"/>
      <c r="B4" s="648"/>
      <c r="C4" s="728" t="str">
        <f ca="1">"Jahreszeit "&amp;Jahreszeiten!I24</f>
        <v>Jahreszeit Winter</v>
      </c>
      <c r="D4" s="728"/>
      <c r="E4" s="733" t="str">
        <f>"Ferien "&amp;Ferien!E9</f>
        <v>Ferien BW</v>
      </c>
      <c r="F4" s="735" t="s">
        <v>0</v>
      </c>
      <c r="G4" s="736" t="str">
        <f>"Feiertage "&amp;Feiertage!H1</f>
        <v>Feiertage BW</v>
      </c>
      <c r="H4" s="737" t="s">
        <v>1</v>
      </c>
      <c r="I4" s="698" t="s">
        <v>178</v>
      </c>
      <c r="J4" s="14"/>
      <c r="K4" s="14"/>
      <c r="L4" s="355"/>
      <c r="M4" s="355"/>
      <c r="N4" s="355"/>
      <c r="O4" s="356"/>
      <c r="P4" s="356"/>
      <c r="Q4" s="15"/>
      <c r="R4" s="14"/>
      <c r="S4" s="14"/>
      <c r="T4" s="14"/>
      <c r="U4" s="15"/>
      <c r="V4" s="10"/>
      <c r="W4" s="7"/>
      <c r="X4" s="59"/>
      <c r="Y4" s="59"/>
      <c r="Z4" s="60"/>
      <c r="AA4" s="60"/>
      <c r="AB4" s="60"/>
      <c r="AC4" s="363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107"/>
      <c r="AQ4" s="107"/>
      <c r="AR4" s="9"/>
      <c r="AS4" s="9"/>
      <c r="AT4" s="107"/>
      <c r="AU4" s="107"/>
      <c r="AV4" s="107"/>
      <c r="AW4" s="107"/>
      <c r="AX4" s="107"/>
      <c r="AY4" s="107"/>
      <c r="AZ4" s="16"/>
      <c r="BA4" s="16"/>
      <c r="BB4" s="16"/>
      <c r="BC4" s="16"/>
      <c r="BD4" s="16"/>
    </row>
    <row r="5" spans="1:56" s="17" customFormat="1" ht="60.75" customHeight="1" thickBot="1">
      <c r="A5" s="645"/>
      <c r="B5" s="648"/>
      <c r="C5" s="728"/>
      <c r="D5" s="728"/>
      <c r="E5" s="734"/>
      <c r="F5" s="735"/>
      <c r="G5" s="736"/>
      <c r="H5" s="737"/>
      <c r="I5" s="699"/>
      <c r="J5" s="10"/>
      <c r="K5" s="700"/>
      <c r="L5" s="701"/>
      <c r="M5" s="701"/>
      <c r="N5" s="702"/>
      <c r="O5" s="358"/>
      <c r="P5" s="161"/>
      <c r="Q5" s="713"/>
      <c r="R5" s="714"/>
      <c r="S5" s="714"/>
      <c r="T5" s="714"/>
      <c r="U5" s="715"/>
      <c r="V5" s="10"/>
      <c r="W5" s="7"/>
      <c r="X5" s="60"/>
      <c r="Y5" s="60"/>
      <c r="Z5" s="60"/>
      <c r="AA5" s="60"/>
      <c r="AB5" s="60"/>
      <c r="AC5" s="363"/>
      <c r="AD5" s="60"/>
      <c r="AE5" s="60"/>
      <c r="AF5" s="60"/>
      <c r="AG5" s="60"/>
      <c r="AH5" s="60"/>
      <c r="AI5" s="60"/>
      <c r="AJ5" s="60"/>
      <c r="AK5" s="59"/>
      <c r="AL5" s="60"/>
      <c r="AM5" s="60"/>
      <c r="AN5" s="60"/>
      <c r="AO5" s="60"/>
      <c r="AP5" s="107"/>
      <c r="AQ5" s="107"/>
      <c r="AR5" s="107"/>
      <c r="AS5" s="9"/>
      <c r="AT5" s="107"/>
      <c r="AU5" s="107"/>
      <c r="AV5" s="107"/>
      <c r="AW5" s="107"/>
      <c r="AX5" s="107"/>
      <c r="AY5" s="107"/>
      <c r="AZ5" s="16"/>
      <c r="BA5" s="16"/>
      <c r="BB5" s="16"/>
      <c r="BC5" s="16"/>
      <c r="BD5" s="16"/>
    </row>
    <row r="6" spans="1:56" s="20" customFormat="1" ht="21.95" customHeight="1" thickBot="1">
      <c r="A6" s="645"/>
      <c r="B6" s="747" t="s">
        <v>3</v>
      </c>
      <c r="C6" s="748"/>
      <c r="D6" s="651">
        <f ca="1">IF(AND(E21=0,E22=0),TODAY(),IF(E21&lt;&gt;"",E21,IF(AG14&lt;&gt;"",AG14,"")))</f>
        <v>45365</v>
      </c>
      <c r="E6" s="307">
        <f ca="1">IF(AND(OR(AND(D6&gt;=Ferien!$C$11,D6&lt;=Ferien!$D$11),AND(D6&gt;=Ferien!$C$12,D6&lt;=Ferien!$D$12),AND(D6&gt;=Ferien!$C$13,D6&lt;=Ferien!$D$13),AND(D6&gt;=Ferien!$C$14,D6&lt;=Ferien!$D$14),AND(D6&gt;=Ferien!$C$15,D6&lt;=Ferien!$D$15),AND(D6&gt;=Ferien!$C$16,D6&lt;=Ferien!$D$16),AND(D6&gt;=Ferien!$C$17,D6&lt;=Ferien!$D$17),AND(D6&gt;=Ferien!$C$18,D6&lt;=Ferien!$D$18),AND(D6&gt;=Ferien!$C$19,D6&lt;=Ferien!$D$19),AND(D6&gt;=Ferien!$C$20,D6&lt;=Ferien!$D$20))),1,0)</f>
        <v>0</v>
      </c>
      <c r="F6" s="306" t="str">
        <f ca="1">IFERROR(VLOOKUP(D6,Mond!$B$3:$C$58,2,0),"")</f>
        <v/>
      </c>
      <c r="G6" s="231">
        <f ca="1">IFERROR(VLOOKUP(D6,Feiertage!$B$2:$B$20,1,0),0)</f>
        <v>0</v>
      </c>
      <c r="H6" s="280" t="str">
        <f t="shared" ref="H6:H12" ca="1" si="0">IF(WEEKDAY(D6,2) = 1, WEEKNUM(D6,21), "")</f>
        <v/>
      </c>
      <c r="I6" s="437" t="str">
        <f ca="1">IF(J6=TRUE,"{","")</f>
        <v/>
      </c>
      <c r="J6" s="279" t="b" cm="1">
        <f t="array" aca="1" ref="J6" ca="1">OR(EXACT($D6,Gießtage!$L$8:$L$99))</f>
        <v>0</v>
      </c>
      <c r="K6" s="703" t="str">
        <f ca="1">IFERROR(VLOOKUP($D6,Geburtstage!$D$3:$E$81,2,0),"")</f>
        <v/>
      </c>
      <c r="L6" s="704"/>
      <c r="M6" s="704"/>
      <c r="N6" s="705"/>
      <c r="O6" s="359"/>
      <c r="P6" s="161"/>
      <c r="Q6" s="716" t="str">
        <f ca="1">IFERROR(VLOOKUP($D6,Termine!$B$4:$C$57,2,0),"")</f>
        <v/>
      </c>
      <c r="R6" s="717"/>
      <c r="S6" s="717"/>
      <c r="T6" s="717"/>
      <c r="U6" s="718"/>
      <c r="V6" s="18"/>
      <c r="W6" s="7"/>
      <c r="X6" s="63">
        <f t="shared" ref="X6:X12" ca="1" si="1">IF(AB6&gt;"",1,0)</f>
        <v>0</v>
      </c>
      <c r="Y6" s="63"/>
      <c r="Z6" s="110">
        <f t="shared" ref="Z6:Z12" ca="1" si="2">D6</f>
        <v>45365</v>
      </c>
      <c r="AA6" s="379" t="str">
        <f t="shared" ref="AA6:AA12" ca="1" si="3">IF(AB6&gt;0,DAY(D6)&amp;"."&amp;MONTH(D6)&amp;"."&amp;"  "&amp;AB6,"")</f>
        <v/>
      </c>
      <c r="AB6" s="61">
        <f ca="1">IF(ISNA(VLOOKUP(D6,Feiertage!$B$2:$B$20,1,0)),0,LOOKUP(D6,Feiertage!$B$2:$B$20,Feiertage!$C$2:$C$20))</f>
        <v>0</v>
      </c>
      <c r="AC6" s="416" t="str">
        <f t="array" aca="1" ref="AC6" ca="1">IFERROR(IF(ROW(AA5)&gt;COUNTA($AA$6:$AA$12),"",INDEX($AA:$AA,SMALL(IF($AA$6:$AA$12&lt;&gt;"",ROW($6:$12)),ROW(B1)))),"")</f>
        <v/>
      </c>
      <c r="AD6" s="61" t="str">
        <f t="shared" ref="AD6:AD12" ca="1" si="4">IF(AE6&gt;0,DAY(D6)&amp;"."&amp;MONTH(D6)&amp;"."&amp;"  "&amp;AE6,"")</f>
        <v/>
      </c>
      <c r="AE6" s="61">
        <f ca="1">IFERROR(VLOOKUP(D6,Feiertage!$B$31:$C$49,2,0),0)</f>
        <v>0</v>
      </c>
      <c r="AF6" s="266" t="str">
        <f t="array" aca="1" ref="AF6" ca="1">IFERROR(IF(ROW(AD5)&gt;COUNTA($AD$6:$AD$12),"",INDEX($AD:$AD,SMALL(IF($AD$6:$AD$12&lt;&gt;"",ROW($6:$12)),ROW(B1)))),"")</f>
        <v/>
      </c>
      <c r="AG6" s="111">
        <f ca="1">DATE(B2,3,31)-(WEEKDAY(DATE(B2,3,31))-1)-1</f>
        <v>45381</v>
      </c>
      <c r="AH6" s="111">
        <f ca="1">AG6+1</f>
        <v>45382</v>
      </c>
      <c r="AI6" s="60"/>
      <c r="AJ6" s="60"/>
      <c r="AK6" s="60"/>
      <c r="AL6" s="60"/>
      <c r="AM6" s="111">
        <f ca="1">Feiertage!B26</f>
        <v>45627</v>
      </c>
      <c r="AN6" s="60" t="str">
        <f ca="1">DAY(AM6)&amp;"."&amp;MONTH(AM6)&amp;"."&amp;"    1. Advent"</f>
        <v>1.12.    1. Advent</v>
      </c>
      <c r="AO6" s="63"/>
      <c r="AP6" s="106">
        <f ca="1">IF(AND($D$6&lt;=AM6,$D$12&gt;=AM6),1,0)</f>
        <v>0</v>
      </c>
      <c r="AQ6" s="106" t="str">
        <f ca="1">IF(AP6&gt;0,AN6,"")</f>
        <v/>
      </c>
      <c r="AR6" s="107"/>
      <c r="AS6" s="9"/>
      <c r="AT6" s="107"/>
      <c r="AU6" s="107"/>
      <c r="AV6" s="107"/>
      <c r="AW6" s="107"/>
      <c r="AX6" s="107"/>
      <c r="AY6" s="107"/>
      <c r="AZ6" s="19"/>
      <c r="BA6" s="19"/>
      <c r="BB6" s="19"/>
      <c r="BC6" s="19"/>
      <c r="BD6" s="19"/>
    </row>
    <row r="7" spans="1:56" s="5" customFormat="1" ht="21.95" customHeight="1">
      <c r="A7" s="645"/>
      <c r="B7" s="649"/>
      <c r="C7" s="21"/>
      <c r="D7" s="340">
        <f t="shared" ref="D7:D12" ca="1" si="5">D6+1</f>
        <v>45366</v>
      </c>
      <c r="E7" s="311">
        <f ca="1">IF(AND(OR(AND(D7&gt;=Ferien!$C$11,D7&lt;=Ferien!$D$11),AND(D7&gt;=Ferien!$C$12,D7&lt;=Ferien!$D$12),AND(D7&gt;=Ferien!$C$13,D7&lt;=Ferien!$D$13),AND(D7&gt;=Ferien!$C$14,D7&lt;=Ferien!$D$14),AND(D7&gt;=Ferien!$C$15,D7&lt;=Ferien!$D$15),AND(D7&gt;=Ferien!$C$16,D7&lt;=Ferien!$D$16),AND(D7&gt;=Ferien!$C$17,D7&lt;=Ferien!$D$17),AND(D7&gt;=Ferien!$C$18,D7&lt;=Ferien!$D$18),AND(D7&gt;=Ferien!$C$19,D7&lt;=Ferien!$D$19),AND(D7&gt;=Ferien!$C$20,D7&lt;=Ferien!$D$20))),1,0)</f>
        <v>0</v>
      </c>
      <c r="F7" s="308" t="str">
        <f ca="1">IFERROR(VLOOKUP(D7,Mond!$B$3:$C$58,2,0),"")</f>
        <v/>
      </c>
      <c r="G7" s="230">
        <f ca="1">IFERROR(VLOOKUP(D7,Feiertage!$B$2:$B$20,1,0),0)</f>
        <v>0</v>
      </c>
      <c r="H7" s="281" t="str">
        <f t="shared" ca="1" si="0"/>
        <v/>
      </c>
      <c r="I7" s="438" t="str">
        <f t="shared" ref="I7:I12" ca="1" si="6">IF(J7=TRUE,"{","")</f>
        <v/>
      </c>
      <c r="J7" s="279" t="b" cm="1">
        <f t="array" aca="1" ref="J7" ca="1">OR(EXACT($D7,Gießtage!$L$8:$L$99))</f>
        <v>0</v>
      </c>
      <c r="K7" s="706" t="str">
        <f ca="1">IFERROR(VLOOKUP($D7,Geburtstage!$D$3:$E$81,2,0),"")</f>
        <v/>
      </c>
      <c r="L7" s="707"/>
      <c r="M7" s="707"/>
      <c r="N7" s="708"/>
      <c r="O7" s="359"/>
      <c r="P7" s="161"/>
      <c r="Q7" s="719" t="str">
        <f ca="1">IFERROR(VLOOKUP($D7,Termine!$B$4:$C$57,2,0),"")</f>
        <v/>
      </c>
      <c r="R7" s="720"/>
      <c r="S7" s="720"/>
      <c r="T7" s="720"/>
      <c r="U7" s="721"/>
      <c r="V7" s="21"/>
      <c r="W7" s="7"/>
      <c r="X7" s="63">
        <f t="shared" ca="1" si="1"/>
        <v>0</v>
      </c>
      <c r="Y7" s="63"/>
      <c r="Z7" s="110">
        <f t="shared" ca="1" si="2"/>
        <v>45366</v>
      </c>
      <c r="AA7" s="379" t="str">
        <f t="shared" ca="1" si="3"/>
        <v/>
      </c>
      <c r="AB7" s="61">
        <f ca="1">IF(ISNA(VLOOKUP(D7,Feiertage!$B$2:$B$20,1,0)),0,LOOKUP(D7,Feiertage!$B$2:$B$20,Feiertage!$C$2:$C$20))</f>
        <v>0</v>
      </c>
      <c r="AC7" s="416" t="str">
        <f t="array" aca="1" ref="AC7" ca="1">IFERROR(IF(ROW(AA6)&gt;COUNTA($AA$6:$AA$12),"",INDEX($AA:$AA,SMALL(IF($AA$6:$AA$12&lt;&gt;"",ROW($6:$12)),ROW(B2)))),"")</f>
        <v/>
      </c>
      <c r="AD7" s="61" t="str">
        <f t="shared" ca="1" si="4"/>
        <v/>
      </c>
      <c r="AE7" s="61">
        <f ca="1">IFERROR(VLOOKUP(D7,Feiertage!$B$31:$C$49,2,0),0)</f>
        <v>0</v>
      </c>
      <c r="AF7" s="266" t="str">
        <f t="array" aca="1" ref="AF7" ca="1">IFERROR(IF(ROW(AD6)&gt;COUNTA($AD$6:$AD$12),"",INDEX($AD:$AD,SMALL(IF($AD$6:$AD$12&lt;&gt;"",ROW($6:$12)),ROW(B2)))),"")</f>
        <v/>
      </c>
      <c r="AG7" s="111">
        <f ca="1">AH7-1</f>
        <v>45591</v>
      </c>
      <c r="AH7" s="111">
        <f ca="1">DATE(B2,10,31)-(WEEKDAY(DATE(B2,10,31))-1)</f>
        <v>45592</v>
      </c>
      <c r="AI7" s="60"/>
      <c r="AJ7" s="60"/>
      <c r="AK7" s="60"/>
      <c r="AL7" s="60"/>
      <c r="AM7" s="111">
        <f ca="1">Feiertage!B27</f>
        <v>45634</v>
      </c>
      <c r="AN7" s="60" t="str">
        <f ca="1">DAY(AM7)&amp;"."&amp;MONTH(AM7)&amp;"."&amp;"    2. Advent"</f>
        <v>8.12.    2. Advent</v>
      </c>
      <c r="AO7" s="63"/>
      <c r="AP7" s="106">
        <f ca="1">IF(AND($D$6&lt;=AM7,$D$12&gt;=AM7),1,0)</f>
        <v>0</v>
      </c>
      <c r="AQ7" s="106" t="str">
        <f ca="1">IF(AP7&gt;0,AN7,"")</f>
        <v/>
      </c>
      <c r="AR7" s="107"/>
      <c r="AS7" s="9"/>
      <c r="AT7" s="107"/>
      <c r="AU7" s="107"/>
      <c r="AV7" s="107"/>
      <c r="AW7" s="107"/>
      <c r="AX7" s="107"/>
      <c r="AY7" s="107"/>
      <c r="AZ7" s="22"/>
      <c r="BA7" s="22"/>
      <c r="BB7" s="22"/>
      <c r="BC7" s="22"/>
      <c r="BD7" s="22"/>
    </row>
    <row r="8" spans="1:56" s="5" customFormat="1" ht="21.95" customHeight="1">
      <c r="A8" s="645"/>
      <c r="B8" s="649"/>
      <c r="C8" s="21"/>
      <c r="D8" s="340">
        <f t="shared" ca="1" si="5"/>
        <v>45367</v>
      </c>
      <c r="E8" s="312">
        <f ca="1">IF(AND(OR(AND(D8&gt;=Ferien!$C$11,D8&lt;=Ferien!$D$11),AND(D8&gt;=Ferien!$C$12,D8&lt;=Ferien!$D$12),AND(D8&gt;=Ferien!$C$13,D8&lt;=Ferien!$D$13),AND(D8&gt;=Ferien!$C$14,D8&lt;=Ferien!$D$14),AND(D8&gt;=Ferien!$C$15,D8&lt;=Ferien!$D$15),AND(D8&gt;=Ferien!$C$16,D8&lt;=Ferien!$D$16),AND(D8&gt;=Ferien!$C$17,D8&lt;=Ferien!$D$17),AND(D8&gt;=Ferien!$C$18,D8&lt;=Ferien!$D$18),AND(D8&gt;=Ferien!$C$19,D8&lt;=Ferien!$D$19),AND(D8&gt;=Ferien!$C$20,D8&lt;=Ferien!$D$20))),1,0)</f>
        <v>0</v>
      </c>
      <c r="F8" s="309" t="str">
        <f ca="1">IFERROR(VLOOKUP(D8,Mond!$B$3:$C$58,2,0),"")</f>
        <v/>
      </c>
      <c r="G8" s="223">
        <f ca="1">IFERROR(VLOOKUP(D8,Feiertage!$B$2:$B$20,1,0),0)</f>
        <v>0</v>
      </c>
      <c r="H8" s="282" t="str">
        <f t="shared" ca="1" si="0"/>
        <v/>
      </c>
      <c r="I8" s="439" t="str">
        <f t="shared" ca="1" si="6"/>
        <v/>
      </c>
      <c r="J8" s="279" t="b" cm="1">
        <f t="array" aca="1" ref="J8" ca="1">OR(EXACT($D8,Gießtage!$L$8:$L$99))</f>
        <v>0</v>
      </c>
      <c r="K8" s="706" t="str">
        <f ca="1">IFERROR(VLOOKUP($D8,Geburtstage!$D$3:$E$81,2,0),"")</f>
        <v/>
      </c>
      <c r="L8" s="707"/>
      <c r="M8" s="707"/>
      <c r="N8" s="708"/>
      <c r="O8" s="359"/>
      <c r="P8" s="161"/>
      <c r="Q8" s="722" t="str">
        <f ca="1">IFERROR(VLOOKUP($D8,Termine!$B$4:$C$57,2,0),"")</f>
        <v/>
      </c>
      <c r="R8" s="723"/>
      <c r="S8" s="723"/>
      <c r="T8" s="723"/>
      <c r="U8" s="724"/>
      <c r="V8" s="21"/>
      <c r="W8" s="7"/>
      <c r="X8" s="63">
        <f t="shared" ca="1" si="1"/>
        <v>0</v>
      </c>
      <c r="Y8" s="63"/>
      <c r="Z8" s="110">
        <f t="shared" ca="1" si="2"/>
        <v>45367</v>
      </c>
      <c r="AA8" s="379" t="str">
        <f t="shared" ca="1" si="3"/>
        <v/>
      </c>
      <c r="AB8" s="61">
        <f ca="1">IF(ISNA(VLOOKUP(D8,Feiertage!$B$2:$B$20,1,0)),0,LOOKUP(D8,Feiertage!$B$2:$B$20,Feiertage!$C$2:$C$20))</f>
        <v>0</v>
      </c>
      <c r="AC8" s="416" t="str">
        <f t="array" aca="1" ref="AC8" ca="1">IFERROR(IF(ROW(AA7)&gt;COUNTA($AA$6:$AA$12),"",INDEX($AA:$AA,SMALL(IF($AA$6:$AA$12&lt;&gt;"",ROW($6:$12)),ROW(B3)))),"")</f>
        <v/>
      </c>
      <c r="AD8" s="61" t="str">
        <f t="shared" ca="1" si="4"/>
        <v/>
      </c>
      <c r="AE8" s="61">
        <f ca="1">IFERROR(VLOOKUP(D8,Feiertage!$B$31:$C$49,2,0),0)</f>
        <v>0</v>
      </c>
      <c r="AF8" s="266" t="str">
        <f t="array" aca="1" ref="AF8" ca="1">IFERROR(IF(ROW(AD7)&gt;COUNTA($AD$6:$AD$12),"",INDEX($AD:$AD,SMALL(IF($AD$6:$AD$12&lt;&gt;"",ROW($6:$12)),ROW(B3)))),"")</f>
        <v/>
      </c>
      <c r="AG8" s="383" t="str">
        <f ca="1">TEXT(AG6,"TT.MM.")&amp;" zum "&amp;TEXT(AH6,"TT.MM.")&amp; " Umstellung auf SZ 02:00 auf 03:00 "</f>
        <v xml:space="preserve">30.03. zum 31.03. Umstellung auf SZ 02:00 auf 03:00 </v>
      </c>
      <c r="AH8" s="383"/>
      <c r="AI8" s="383"/>
      <c r="AJ8" s="383"/>
      <c r="AK8" s="383"/>
      <c r="AL8" s="60"/>
      <c r="AM8" s="111">
        <f ca="1">Feiertage!B28</f>
        <v>45641</v>
      </c>
      <c r="AN8" s="60" t="str">
        <f ca="1">DAY(AM8)&amp;"."&amp;MONTH(AM8)&amp;"."&amp;"    3. Advent"</f>
        <v>15.12.    3. Advent</v>
      </c>
      <c r="AO8" s="63"/>
      <c r="AP8" s="106">
        <f ca="1">IF(AND($D$6&lt;=AM8,$D$12&gt;=AM8),1,0)</f>
        <v>0</v>
      </c>
      <c r="AQ8" s="106" t="str">
        <f ca="1">IF(AP8&gt;0,AN8,"")</f>
        <v/>
      </c>
      <c r="AR8" s="107"/>
      <c r="AS8" s="9"/>
      <c r="AT8" s="107"/>
      <c r="AU8" s="107"/>
      <c r="AV8" s="107"/>
      <c r="AW8" s="107"/>
      <c r="AX8" s="107"/>
      <c r="AY8" s="107"/>
      <c r="AZ8" s="22"/>
      <c r="BA8" s="22"/>
      <c r="BB8" s="22"/>
      <c r="BC8" s="22"/>
      <c r="BD8" s="22"/>
    </row>
    <row r="9" spans="1:56" s="5" customFormat="1" ht="21.95" customHeight="1">
      <c r="A9" s="645"/>
      <c r="B9" s="649"/>
      <c r="C9" s="21"/>
      <c r="D9" s="340">
        <f t="shared" ca="1" si="5"/>
        <v>45368</v>
      </c>
      <c r="E9" s="312">
        <f ca="1">IF(AND(OR(AND(D9&gt;=Ferien!$C$11,D9&lt;=Ferien!$D$11),AND(D9&gt;=Ferien!$C$12,D9&lt;=Ferien!$D$12),AND(D9&gt;=Ferien!$C$13,D9&lt;=Ferien!$D$13),AND(D9&gt;=Ferien!$C$14,D9&lt;=Ferien!$D$14),AND(D9&gt;=Ferien!$C$15,D9&lt;=Ferien!$D$15),AND(D9&gt;=Ferien!$C$16,D9&lt;=Ferien!$D$16),AND(D9&gt;=Ferien!$C$17,D9&lt;=Ferien!$D$17),AND(D9&gt;=Ferien!$C$18,D9&lt;=Ferien!$D$18),AND(D9&gt;=Ferien!$C$19,D9&lt;=Ferien!$D$19),AND(D9&gt;=Ferien!$C$20,D9&lt;=Ferien!$D$20))),1,0)</f>
        <v>0</v>
      </c>
      <c r="F9" s="309" t="str">
        <f ca="1">IFERROR(VLOOKUP(D9,Mond!$B$3:$C$58,2,0),"")</f>
        <v>G</v>
      </c>
      <c r="G9" s="223">
        <f ca="1">IFERROR(VLOOKUP(D9,Feiertage!$B$2:$B$20,1,0),0)</f>
        <v>0</v>
      </c>
      <c r="H9" s="282" t="str">
        <f t="shared" ca="1" si="0"/>
        <v/>
      </c>
      <c r="I9" s="439" t="str">
        <f t="shared" ca="1" si="6"/>
        <v>{</v>
      </c>
      <c r="J9" s="279" t="b" cm="1">
        <f t="array" aca="1" ref="J9" ca="1">OR(EXACT($D9,Gießtage!$L$8:$L$99))</f>
        <v>1</v>
      </c>
      <c r="K9" s="706" t="str">
        <f ca="1">IFERROR(VLOOKUP($D9,Geburtstage!$D$3:$E$81,2,0),"")</f>
        <v/>
      </c>
      <c r="L9" s="707"/>
      <c r="M9" s="707"/>
      <c r="N9" s="708"/>
      <c r="O9" s="359"/>
      <c r="P9" s="161"/>
      <c r="Q9" s="722" t="str">
        <f ca="1">IFERROR(VLOOKUP($D9,Termine!$B$4:$C$57,2,0),"")</f>
        <v/>
      </c>
      <c r="R9" s="723"/>
      <c r="S9" s="723"/>
      <c r="T9" s="723"/>
      <c r="U9" s="724"/>
      <c r="V9" s="21"/>
      <c r="W9" s="7"/>
      <c r="X9" s="63">
        <f t="shared" ca="1" si="1"/>
        <v>0</v>
      </c>
      <c r="Y9" s="63"/>
      <c r="Z9" s="110">
        <f t="shared" ca="1" si="2"/>
        <v>45368</v>
      </c>
      <c r="AA9" s="379" t="str">
        <f t="shared" ca="1" si="3"/>
        <v/>
      </c>
      <c r="AB9" s="61">
        <f ca="1">IF(ISNA(VLOOKUP(D9,Feiertage!$B$2:$B$20,1,0)),0,LOOKUP(D9,Feiertage!$B$2:$B$20,Feiertage!$C$2:$C$20))</f>
        <v>0</v>
      </c>
      <c r="AC9" s="363"/>
      <c r="AD9" s="61" t="str">
        <f t="shared" ca="1" si="4"/>
        <v/>
      </c>
      <c r="AE9" s="61">
        <f ca="1">IFERROR(VLOOKUP(D9,Feiertage!$B$31:$C$49,2,0),0)</f>
        <v>0</v>
      </c>
      <c r="AF9" s="60"/>
      <c r="AG9" s="60"/>
      <c r="AH9" s="112">
        <f>DATE(AC5,10,31)-(WEEKDAY(DATE(AC5,10,31))-1)</f>
        <v>302</v>
      </c>
      <c r="AI9" s="60"/>
      <c r="AJ9" s="60"/>
      <c r="AK9" s="60"/>
      <c r="AL9" s="60"/>
      <c r="AM9" s="111">
        <f ca="1">Feiertage!B29</f>
        <v>45648</v>
      </c>
      <c r="AN9" s="60" t="str">
        <f ca="1">DAY(AM9)&amp;"."&amp;MONTH(AM9)&amp;"."&amp;"    4. Advent"</f>
        <v>22.12.    4. Advent</v>
      </c>
      <c r="AO9" s="63"/>
      <c r="AP9" s="106">
        <f ca="1">IF(AND($D$6&lt;=AM9,$D$12&gt;=AM9),1,0)</f>
        <v>0</v>
      </c>
      <c r="AQ9" s="106" t="str">
        <f ca="1">IF(AP9&gt;0,AN9,"")</f>
        <v/>
      </c>
      <c r="AR9" s="107"/>
      <c r="AS9" s="9"/>
      <c r="AT9" s="107"/>
      <c r="AU9" s="107"/>
      <c r="AV9" s="107"/>
      <c r="AW9" s="107"/>
      <c r="AX9" s="107"/>
      <c r="AY9" s="107"/>
      <c r="AZ9" s="22"/>
      <c r="BA9" s="22"/>
      <c r="BB9" s="22"/>
      <c r="BC9" s="22"/>
      <c r="BD9" s="22"/>
    </row>
    <row r="10" spans="1:56" s="5" customFormat="1" ht="21.95" customHeight="1">
      <c r="A10" s="645"/>
      <c r="B10" s="649"/>
      <c r="C10" s="21"/>
      <c r="D10" s="340">
        <f t="shared" ca="1" si="5"/>
        <v>45369</v>
      </c>
      <c r="E10" s="312">
        <f ca="1">IF(AND(OR(AND(D10&gt;=Ferien!$C$11,D10&lt;=Ferien!$D$11),AND(D10&gt;=Ferien!$C$12,D10&lt;=Ferien!$D$12),AND(D10&gt;=Ferien!$C$13,D10&lt;=Ferien!$D$13),AND(D10&gt;=Ferien!$C$14,D10&lt;=Ferien!$D$14),AND(D10&gt;=Ferien!$C$15,D10&lt;=Ferien!$D$15),AND(D10&gt;=Ferien!$C$16,D10&lt;=Ferien!$D$16),AND(D10&gt;=Ferien!$C$17,D10&lt;=Ferien!$D$17),AND(D10&gt;=Ferien!$C$18,D10&lt;=Ferien!$D$18),AND(D10&gt;=Ferien!$C$19,D10&lt;=Ferien!$D$19),AND(D10&gt;=Ferien!$C$20,D10&lt;=Ferien!$D$20))),1,0)</f>
        <v>0</v>
      </c>
      <c r="F10" s="309" t="str">
        <f ca="1">IFERROR(VLOOKUP(D10,Mond!$B$3:$C$58,2,0),"")</f>
        <v/>
      </c>
      <c r="G10" s="223">
        <f ca="1">IFERROR(VLOOKUP(D10,Feiertage!$B$2:$B$20,1,0),0)</f>
        <v>0</v>
      </c>
      <c r="H10" s="282">
        <f t="shared" ca="1" si="0"/>
        <v>12</v>
      </c>
      <c r="I10" s="439" t="str">
        <f t="shared" ca="1" si="6"/>
        <v>{</v>
      </c>
      <c r="J10" s="279" t="b" cm="1">
        <f t="array" aca="1" ref="J10" ca="1">OR(EXACT($D10,Gießtage!$L$8:$L$99))</f>
        <v>1</v>
      </c>
      <c r="K10" s="706" t="str">
        <f ca="1">IFERROR(VLOOKUP($D10,Geburtstage!$D$3:$E$81,2,0),"")</f>
        <v/>
      </c>
      <c r="L10" s="707"/>
      <c r="M10" s="707"/>
      <c r="N10" s="708"/>
      <c r="O10" s="359"/>
      <c r="P10" s="161"/>
      <c r="Q10" s="722" t="str">
        <f ca="1">IFERROR(VLOOKUP($D10,Termine!$B$4:$C$57,2,0),"")</f>
        <v/>
      </c>
      <c r="R10" s="723"/>
      <c r="S10" s="723"/>
      <c r="T10" s="723"/>
      <c r="U10" s="724"/>
      <c r="V10" s="21"/>
      <c r="W10" s="7"/>
      <c r="X10" s="63">
        <f t="shared" ca="1" si="1"/>
        <v>0</v>
      </c>
      <c r="Y10" s="63"/>
      <c r="Z10" s="110">
        <f t="shared" ca="1" si="2"/>
        <v>45369</v>
      </c>
      <c r="AA10" s="379" t="str">
        <f t="shared" ca="1" si="3"/>
        <v/>
      </c>
      <c r="AB10" s="61">
        <f ca="1">IF(ISNA(VLOOKUP(D10,Feiertage!$B$2:$B$20,1,0)),0,LOOKUP(D10,Feiertage!$B$2:$B$20,Feiertage!$C$2:$C$20))</f>
        <v>0</v>
      </c>
      <c r="AC10" s="363"/>
      <c r="AD10" s="61" t="str">
        <f t="shared" ca="1" si="4"/>
        <v/>
      </c>
      <c r="AE10" s="61">
        <f ca="1">IFERROR(VLOOKUP(D10,Feiertage!$B$31:$C$49,2,0),0)</f>
        <v>0</v>
      </c>
      <c r="AF10" s="60"/>
      <c r="AG10" s="383" t="str">
        <f ca="1">TEXT(AG7,"TT.MM.")&amp;" zum "&amp;TEXT(AH7,"TT.MM.")&amp; " Umstellung auf WZ 03:00 auf 02:00 "</f>
        <v xml:space="preserve">26.10. zum 27.10. Umstellung auf WZ 03:00 auf 02:00 </v>
      </c>
      <c r="AH10" s="383"/>
      <c r="AI10" s="383"/>
      <c r="AJ10" s="383"/>
      <c r="AK10" s="383"/>
      <c r="AL10" s="60"/>
      <c r="AM10" s="60"/>
      <c r="AN10" s="60"/>
      <c r="AO10" s="60"/>
      <c r="AP10" s="61">
        <f ca="1">COUNTIF(AP6:AP9,1)</f>
        <v>0</v>
      </c>
      <c r="AQ10" s="107"/>
      <c r="AR10" s="107"/>
      <c r="AS10" s="9"/>
      <c r="AT10" s="107"/>
      <c r="AU10" s="107"/>
      <c r="AV10" s="107"/>
      <c r="AW10" s="107"/>
      <c r="AX10" s="107"/>
      <c r="AY10" s="107"/>
      <c r="AZ10" s="22"/>
      <c r="BA10" s="22"/>
      <c r="BB10" s="22"/>
      <c r="BC10" s="22"/>
      <c r="BD10" s="22"/>
    </row>
    <row r="11" spans="1:56" s="5" customFormat="1" ht="21.95" customHeight="1">
      <c r="A11" s="645"/>
      <c r="B11" s="649"/>
      <c r="C11" s="21"/>
      <c r="D11" s="340">
        <f t="shared" ca="1" si="5"/>
        <v>45370</v>
      </c>
      <c r="E11" s="312">
        <f ca="1">IF(AND(OR(AND(D11&gt;=Ferien!$C$11,D11&lt;=Ferien!$D$11),AND(D11&gt;=Ferien!$C$12,D11&lt;=Ferien!$D$12),AND(D11&gt;=Ferien!$C$13,D11&lt;=Ferien!$D$13),AND(D11&gt;=Ferien!$C$14,D11&lt;=Ferien!$D$14),AND(D11&gt;=Ferien!$C$15,D11&lt;=Ferien!$D$15),AND(D11&gt;=Ferien!$C$16,D11&lt;=Ferien!$D$16),AND(D11&gt;=Ferien!$C$17,D11&lt;=Ferien!$D$17),AND(D11&gt;=Ferien!$C$18,D11&lt;=Ferien!$D$18),AND(D11&gt;=Ferien!$C$19,D11&lt;=Ferien!$D$19),AND(D11&gt;=Ferien!$C$20,D11&lt;=Ferien!$D$20))),1,0)</f>
        <v>0</v>
      </c>
      <c r="F11" s="309" t="str">
        <f ca="1">IFERROR(VLOOKUP(D11,Mond!$B$3:$C$58,2,0),"")</f>
        <v/>
      </c>
      <c r="G11" s="223">
        <f ca="1">IFERROR(VLOOKUP(D11,Feiertage!$B$2:$B$20,1,0),0)</f>
        <v>0</v>
      </c>
      <c r="H11" s="282" t="str">
        <f t="shared" ca="1" si="0"/>
        <v/>
      </c>
      <c r="I11" s="439" t="str">
        <f t="shared" ca="1" si="6"/>
        <v>{</v>
      </c>
      <c r="J11" s="279" t="b" cm="1">
        <f t="array" aca="1" ref="J11" ca="1">OR(EXACT($D11,Gießtage!$L$8:$L$99))</f>
        <v>1</v>
      </c>
      <c r="K11" s="706" t="str">
        <f ca="1">IFERROR(VLOOKUP($D11,Geburtstage!$D$3:$E$81,2,0),"")</f>
        <v/>
      </c>
      <c r="L11" s="707"/>
      <c r="M11" s="707"/>
      <c r="N11" s="708"/>
      <c r="O11" s="359"/>
      <c r="P11" s="161"/>
      <c r="Q11" s="722" t="str">
        <f ca="1">IFERROR(VLOOKUP($D11,Termine!$B$4:$C$57,2,0),"")</f>
        <v/>
      </c>
      <c r="R11" s="723"/>
      <c r="S11" s="723"/>
      <c r="T11" s="723"/>
      <c r="U11" s="724"/>
      <c r="V11" s="21"/>
      <c r="W11" s="7"/>
      <c r="X11" s="63">
        <f t="shared" ca="1" si="1"/>
        <v>0</v>
      </c>
      <c r="Y11" s="63"/>
      <c r="Z11" s="110">
        <f t="shared" ca="1" si="2"/>
        <v>45370</v>
      </c>
      <c r="AA11" s="379" t="str">
        <f t="shared" ca="1" si="3"/>
        <v/>
      </c>
      <c r="AB11" s="61">
        <f ca="1">IF(ISNA(VLOOKUP(D11,Feiertage!$B$2:$B$20,1,0)),0,LOOKUP(D11,Feiertage!$B$2:$B$20,Feiertage!$C$2:$C$20))</f>
        <v>0</v>
      </c>
      <c r="AC11" s="363"/>
      <c r="AD11" s="61" t="str">
        <f t="shared" ca="1" si="4"/>
        <v/>
      </c>
      <c r="AE11" s="61">
        <f ca="1">IFERROR(VLOOKUP(D11,Feiertage!$B$31:$C$49,2,0),0)</f>
        <v>0</v>
      </c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107"/>
      <c r="AQ11" s="107"/>
      <c r="AR11" s="107"/>
      <c r="AS11" s="9"/>
      <c r="AT11" s="107"/>
      <c r="AU11" s="107"/>
      <c r="AV11" s="107"/>
      <c r="AW11" s="107"/>
      <c r="AX11" s="107"/>
      <c r="AY11" s="107"/>
      <c r="AZ11" s="22"/>
      <c r="BA11" s="22"/>
      <c r="BB11" s="22"/>
      <c r="BC11" s="22"/>
      <c r="BD11" s="22"/>
    </row>
    <row r="12" spans="1:56" s="5" customFormat="1" ht="21.95" customHeight="1" thickBot="1">
      <c r="A12" s="645"/>
      <c r="B12" s="649"/>
      <c r="C12" s="21"/>
      <c r="D12" s="341">
        <f t="shared" ca="1" si="5"/>
        <v>45371</v>
      </c>
      <c r="E12" s="313">
        <f ca="1">IF(AND(OR(AND(D12&gt;=Ferien!$C$11,D12&lt;=Ferien!$D$11),AND(D12&gt;=Ferien!$C$12,D12&lt;=Ferien!$D$12),AND(D12&gt;=Ferien!$C$13,D12&lt;=Ferien!$D$13),AND(D12&gt;=Ferien!$C$14,D12&lt;=Ferien!$D$14),AND(D12&gt;=Ferien!$C$15,D12&lt;=Ferien!$D$15),AND(D12&gt;=Ferien!$C$16,D12&lt;=Ferien!$D$16),AND(D12&gt;=Ferien!$C$17,D12&lt;=Ferien!$D$17),AND(D12&gt;=Ferien!$C$18,D12&lt;=Ferien!$D$18),AND(D12&gt;=Ferien!$C$19,D12&lt;=Ferien!$D$19),AND(D12&gt;=Ferien!$C$20,D12&lt;=Ferien!$D$20))),1,0)</f>
        <v>0</v>
      </c>
      <c r="F12" s="310" t="str">
        <f ca="1">IFERROR(VLOOKUP(D12,Mond!$B$3:$C$58,2,0),"")</f>
        <v/>
      </c>
      <c r="G12" s="224">
        <f ca="1">IFERROR(VLOOKUP(D12,Feiertage!$B$2:$B$20,1,0),0)</f>
        <v>0</v>
      </c>
      <c r="H12" s="283" t="str">
        <f t="shared" ca="1" si="0"/>
        <v/>
      </c>
      <c r="I12" s="440" t="str">
        <f t="shared" ca="1" si="6"/>
        <v/>
      </c>
      <c r="J12" s="279" t="b" cm="1">
        <f t="array" aca="1" ref="J12" ca="1">OR(EXACT($D12,Gießtage!$L$8:$L$99))</f>
        <v>0</v>
      </c>
      <c r="K12" s="709" t="str">
        <f ca="1">IFERROR(VLOOKUP($D12,Geburtstage!$D$3:$E$81,2,0),"")</f>
        <v/>
      </c>
      <c r="L12" s="710"/>
      <c r="M12" s="710"/>
      <c r="N12" s="711"/>
      <c r="O12" s="359"/>
      <c r="P12" s="161"/>
      <c r="Q12" s="749" t="str">
        <f ca="1">IFERROR(VLOOKUP($D12,Termine!$B$4:$C$57,2,0),"")</f>
        <v/>
      </c>
      <c r="R12" s="750"/>
      <c r="S12" s="750"/>
      <c r="T12" s="750"/>
      <c r="U12" s="751"/>
      <c r="V12" s="21"/>
      <c r="W12" s="7"/>
      <c r="X12" s="63">
        <f t="shared" ca="1" si="1"/>
        <v>0</v>
      </c>
      <c r="Y12" s="63"/>
      <c r="Z12" s="110">
        <f t="shared" ca="1" si="2"/>
        <v>45371</v>
      </c>
      <c r="AA12" s="379" t="str">
        <f t="shared" ca="1" si="3"/>
        <v/>
      </c>
      <c r="AB12" s="61">
        <f ca="1">IF(ISNA(VLOOKUP(D12,Feiertage!$B$2:$B$20,1,0)),0,LOOKUP(D12,Feiertage!$B$2:$B$20,Feiertage!$C$2:$C$20))</f>
        <v>0</v>
      </c>
      <c r="AC12" s="363"/>
      <c r="AD12" s="61" t="str">
        <f t="shared" ca="1" si="4"/>
        <v/>
      </c>
      <c r="AE12" s="61">
        <f ca="1">IFERROR(VLOOKUP(D12,Feiertage!$B$31:$C$49,2,0),0)</f>
        <v>0</v>
      </c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107"/>
      <c r="AQ12" s="107"/>
      <c r="AR12" s="107"/>
      <c r="AS12" s="9"/>
      <c r="AT12" s="107"/>
      <c r="AU12" s="107"/>
      <c r="AV12" s="107"/>
      <c r="AW12" s="107"/>
      <c r="AX12" s="107"/>
      <c r="AY12" s="107"/>
      <c r="AZ12" s="22"/>
      <c r="BA12" s="22"/>
      <c r="BB12" s="22"/>
      <c r="BC12" s="22"/>
      <c r="BD12" s="22"/>
    </row>
    <row r="13" spans="1:56" s="5" customFormat="1" ht="8.25" customHeight="1" thickBot="1">
      <c r="A13" s="645"/>
      <c r="B13" s="649"/>
      <c r="C13" s="21"/>
      <c r="D13" s="24"/>
      <c r="E13" s="24"/>
      <c r="F13" s="24"/>
      <c r="G13" s="24"/>
      <c r="H13" s="24"/>
      <c r="I13" s="24"/>
      <c r="J13" s="24"/>
      <c r="K13" s="24"/>
      <c r="L13" s="357"/>
      <c r="M13" s="357"/>
      <c r="N13" s="357"/>
      <c r="O13" s="357"/>
      <c r="P13" s="357"/>
      <c r="Q13" s="24"/>
      <c r="R13" s="24"/>
      <c r="S13" s="24"/>
      <c r="T13" s="24"/>
      <c r="U13" s="24"/>
      <c r="V13" s="21"/>
      <c r="W13" s="7"/>
      <c r="X13" s="63"/>
      <c r="Y13" s="63"/>
      <c r="Z13" s="110"/>
      <c r="AA13" s="379"/>
      <c r="AB13" s="379"/>
      <c r="AC13" s="655" t="str">
        <f ca="1">LOOKUP(DATE(,MONTH(D6),DAY(D6)),{1;21;51;81;112;142;174;205;237;268;298;328;357},{"l";"a";"b";"c";"d";"e";"f";"g";"h";"i";"j";"k";"l"})</f>
        <v>b</v>
      </c>
      <c r="AD13" s="380"/>
      <c r="AE13" s="380"/>
      <c r="AF13" s="380"/>
      <c r="AG13" s="60"/>
      <c r="AH13" s="60"/>
      <c r="AI13" s="60"/>
      <c r="AJ13" s="60"/>
      <c r="AK13" s="60"/>
      <c r="AL13" s="60"/>
      <c r="AM13" s="60"/>
      <c r="AN13" s="60"/>
      <c r="AO13" s="60"/>
      <c r="AP13" s="107"/>
      <c r="AQ13" s="107"/>
      <c r="AR13" s="107"/>
      <c r="AS13" s="9"/>
      <c r="AT13" s="107"/>
      <c r="AU13" s="107"/>
      <c r="AV13" s="107"/>
      <c r="AW13" s="107"/>
      <c r="AX13" s="107"/>
      <c r="AY13" s="107"/>
      <c r="AZ13" s="22"/>
      <c r="BA13" s="22"/>
      <c r="BB13" s="22"/>
      <c r="BC13" s="22"/>
      <c r="BD13" s="22"/>
    </row>
    <row r="14" spans="1:56" ht="21.95" customHeight="1" thickBot="1">
      <c r="A14" s="645"/>
      <c r="B14" s="650"/>
      <c r="C14" s="23"/>
      <c r="D14" s="24"/>
      <c r="E14" s="681"/>
      <c r="F14" s="681"/>
      <c r="G14" s="681"/>
      <c r="H14" s="681"/>
      <c r="I14" s="681"/>
      <c r="J14" s="25"/>
      <c r="K14" s="692" t="str">
        <f ca="1">IF(K15&gt;"","Jahreszeiten astronomisch:","")</f>
        <v/>
      </c>
      <c r="L14" s="693"/>
      <c r="M14" s="360"/>
      <c r="N14" s="360"/>
      <c r="O14" s="361"/>
      <c r="P14" s="712" t="str">
        <f ca="1">IF(R18=1,"Angezeigter Feiertag",IF(R18&gt;1,"Angezeigte Feiertage",""))</f>
        <v/>
      </c>
      <c r="Q14" s="712"/>
      <c r="R14" s="23"/>
      <c r="S14" s="682" t="str">
        <f ca="1">IF(OR(MONTH(D6)=3,MONTH(D6)=10),"Zeitumstellung:","")</f>
        <v>Zeitumstellung:</v>
      </c>
      <c r="T14" s="683"/>
      <c r="U14" s="684"/>
      <c r="V14" s="23"/>
      <c r="W14" s="7"/>
      <c r="X14" s="61">
        <f ca="1">COUNTIF(X6:X12,1)</f>
        <v>0</v>
      </c>
      <c r="Y14" s="61"/>
      <c r="Z14" s="60">
        <f ca="1">IF(OR(MONTH(D6)=3,MONTH(D6)=6,MONTH(D6)=9,MONTH(D6)=12),1,0)</f>
        <v>1</v>
      </c>
      <c r="AA14" s="60">
        <f ca="1">IF(OR(MONTH(D6)=3,MONTH(D6)=10),1,0)</f>
        <v>1</v>
      </c>
      <c r="AB14" s="60"/>
      <c r="AC14" s="363"/>
      <c r="AD14" s="60"/>
      <c r="AE14" s="60"/>
      <c r="AF14" s="60"/>
      <c r="AG14" s="113">
        <f ca="1">IF(WEEKNUM(DATE(B2,1,1),21)=1,IF(WEEKDAY(DATE(B2,1,1),11)=1,DATE(B2,1,1)+7*(E22-1),DATE(B2,1,1)-WEEKDAY(DATE(B2,1,1),11)+1+7*(E22-1)),IF(WEEKDAY(DATE(B2,1,1),11)=1,DATE(B2,1,1)+7+7*(E22-1),DATE(B2,1,1)+7-WEEKDAY(DATE(B2,1,1),11)+1+7*(E22-1)))</f>
        <v>45285</v>
      </c>
      <c r="AH14" s="60"/>
      <c r="AI14" s="60"/>
      <c r="AJ14" s="60"/>
      <c r="AK14" s="59"/>
      <c r="AL14" s="60"/>
      <c r="AM14" s="60"/>
      <c r="AN14" s="60"/>
      <c r="AO14" s="60"/>
      <c r="AP14" s="107"/>
      <c r="AQ14" s="107"/>
      <c r="AR14" s="107"/>
      <c r="AS14" s="9"/>
      <c r="AT14" s="107"/>
      <c r="AU14" s="107"/>
      <c r="AV14" s="107"/>
      <c r="AW14" s="107"/>
      <c r="AX14" s="107"/>
      <c r="AY14" s="107"/>
      <c r="AZ14" s="9"/>
      <c r="BA14" s="9"/>
      <c r="BB14" s="9"/>
      <c r="BC14" s="9"/>
      <c r="BD14" s="9"/>
    </row>
    <row r="15" spans="1:56" ht="21.95" customHeight="1" thickBot="1">
      <c r="A15" s="645"/>
      <c r="B15" s="650"/>
      <c r="C15" s="27"/>
      <c r="D15" s="27"/>
      <c r="E15" s="681"/>
      <c r="F15" s="681"/>
      <c r="G15" s="681"/>
      <c r="H15" s="681"/>
      <c r="I15" s="681"/>
      <c r="J15" s="23"/>
      <c r="K15" s="694" t="str">
        <f ca="1">IF(MONTH(D6)=3,Jahreszeiten!H16,IF(MONTH(D6)=6,Jahreszeiten!H27,IF(MONTH(D6)=9,Jahreszeiten!H38,IF(MONTH(D6)=12,Jahreszeiten!H49,""))))</f>
        <v/>
      </c>
      <c r="L15" s="695"/>
      <c r="M15" s="361"/>
      <c r="N15" s="361"/>
      <c r="O15" s="361"/>
      <c r="P15" s="691" t="str">
        <f ca="1">IF(AC6&gt;"",AC6,"")</f>
        <v/>
      </c>
      <c r="Q15" s="691"/>
      <c r="R15" s="450" t="str">
        <f ca="1">IF(P15&gt;"",1,"")</f>
        <v/>
      </c>
      <c r="S15" s="678" t="str">
        <f ca="1">IF(MONTH(D6)=3,AG8,IF(MONTH(D6)=10,AG10,""))</f>
        <v xml:space="preserve">30.03. zum 31.03. Umstellung auf SZ 02:00 auf 03:00 </v>
      </c>
      <c r="T15" s="679"/>
      <c r="U15" s="680"/>
      <c r="V15" s="23"/>
      <c r="W15" s="7"/>
      <c r="X15" s="60"/>
      <c r="Y15" s="60"/>
      <c r="Z15" s="60"/>
      <c r="AA15" s="60"/>
      <c r="AB15" s="60"/>
      <c r="AC15" s="363"/>
      <c r="AD15" s="60"/>
      <c r="AE15" s="60"/>
      <c r="AF15" s="60"/>
      <c r="AG15" s="60"/>
      <c r="AH15" s="60"/>
      <c r="AI15" s="60"/>
      <c r="AJ15" s="60"/>
      <c r="AK15" s="59"/>
      <c r="AL15" s="60"/>
      <c r="AM15" s="60"/>
      <c r="AN15" s="60"/>
      <c r="AO15" s="60"/>
      <c r="AP15" s="107"/>
      <c r="AQ15" s="107"/>
      <c r="AR15" s="107"/>
      <c r="AS15" s="9"/>
      <c r="AT15" s="107"/>
      <c r="AU15" s="107"/>
      <c r="AV15" s="107"/>
      <c r="AW15" s="107"/>
      <c r="AX15" s="107"/>
      <c r="AY15" s="107"/>
      <c r="AZ15" s="9"/>
      <c r="BA15" s="9"/>
      <c r="BB15" s="9"/>
      <c r="BC15" s="9"/>
      <c r="BD15" s="9"/>
    </row>
    <row r="16" spans="1:56" ht="21.95" customHeight="1" thickBot="1">
      <c r="A16" s="645"/>
      <c r="B16" s="650"/>
      <c r="C16" s="23"/>
      <c r="D16" s="27"/>
      <c r="E16" s="681"/>
      <c r="F16" s="681"/>
      <c r="G16" s="681"/>
      <c r="H16" s="681"/>
      <c r="I16" s="681"/>
      <c r="J16" s="25"/>
      <c r="K16" s="160"/>
      <c r="L16" s="362"/>
      <c r="M16" s="360"/>
      <c r="N16" s="360"/>
      <c r="O16" s="361"/>
      <c r="P16" s="691" t="str">
        <f ca="1">IF(AC7&gt;"",AC7,"")</f>
        <v/>
      </c>
      <c r="Q16" s="691"/>
      <c r="R16" s="450" t="str">
        <f t="shared" ref="R16:R17" ca="1" si="7">IF(P16&gt;"",1,"")</f>
        <v/>
      </c>
      <c r="S16" s="25"/>
      <c r="T16" s="377"/>
      <c r="U16" s="26"/>
      <c r="V16" s="23"/>
      <c r="W16" s="7"/>
      <c r="X16" s="60"/>
      <c r="Y16" s="60"/>
      <c r="Z16" s="60"/>
      <c r="AA16" s="60"/>
      <c r="AB16" s="60"/>
      <c r="AC16" s="363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107"/>
      <c r="AQ16" s="107"/>
      <c r="AR16" s="107"/>
      <c r="AS16" s="9"/>
      <c r="AT16" s="107"/>
      <c r="AU16" s="107"/>
      <c r="AV16" s="107"/>
      <c r="AW16" s="107"/>
      <c r="AX16" s="107"/>
      <c r="AY16" s="107"/>
      <c r="AZ16" s="9"/>
      <c r="BA16" s="9"/>
      <c r="BB16" s="9"/>
      <c r="BC16" s="9"/>
      <c r="BD16" s="9"/>
    </row>
    <row r="17" spans="1:56" ht="21.95" customHeight="1" thickBot="1">
      <c r="A17" s="645"/>
      <c r="B17" s="650"/>
      <c r="C17" s="23"/>
      <c r="D17" s="27"/>
      <c r="E17" s="681"/>
      <c r="F17" s="681"/>
      <c r="G17" s="681"/>
      <c r="H17" s="681"/>
      <c r="I17" s="681"/>
      <c r="J17" s="24"/>
      <c r="K17" s="689" t="s">
        <v>205</v>
      </c>
      <c r="L17" s="690"/>
      <c r="M17" s="361"/>
      <c r="N17" s="361"/>
      <c r="O17" s="361"/>
      <c r="P17" s="691" t="str">
        <f ca="1">IF(AC8&gt;"",AC8,"")</f>
        <v/>
      </c>
      <c r="Q17" s="691"/>
      <c r="R17" s="450" t="str">
        <f t="shared" ca="1" si="7"/>
        <v/>
      </c>
      <c r="S17" s="665" t="s">
        <v>145</v>
      </c>
      <c r="T17" s="666"/>
      <c r="U17" s="667"/>
      <c r="V17" s="24"/>
      <c r="W17" s="7"/>
      <c r="X17" s="60"/>
      <c r="Y17" s="60"/>
      <c r="Z17" s="60"/>
      <c r="AA17" s="60"/>
      <c r="AB17" s="60"/>
      <c r="AC17" s="363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107"/>
      <c r="AQ17" s="107"/>
      <c r="AR17" s="107"/>
      <c r="AS17" s="9"/>
      <c r="AT17" s="107"/>
      <c r="AU17" s="107"/>
      <c r="AV17" s="107"/>
      <c r="AW17" s="107"/>
      <c r="AX17" s="107"/>
      <c r="AY17" s="107"/>
      <c r="AZ17" s="9"/>
      <c r="BA17" s="9"/>
      <c r="BB17" s="9"/>
      <c r="BC17" s="9"/>
      <c r="BD17" s="9"/>
    </row>
    <row r="18" spans="1:56" s="28" customFormat="1" ht="21.95" customHeight="1" thickBot="1">
      <c r="A18" s="645"/>
      <c r="B18" s="650"/>
      <c r="C18" s="24"/>
      <c r="D18" s="27"/>
      <c r="E18" s="681"/>
      <c r="F18" s="681"/>
      <c r="G18" s="681"/>
      <c r="H18" s="681"/>
      <c r="I18" s="681"/>
      <c r="J18" s="24"/>
      <c r="K18" s="687" t="s">
        <v>206</v>
      </c>
      <c r="L18" s="688"/>
      <c r="M18" s="361"/>
      <c r="N18" s="361"/>
      <c r="O18" s="361"/>
      <c r="P18" s="161"/>
      <c r="Q18" s="24"/>
      <c r="R18" s="451">
        <f ca="1">SUM(R15:R17)</f>
        <v>0</v>
      </c>
      <c r="S18" s="668" t="s">
        <v>209</v>
      </c>
      <c r="T18" s="669"/>
      <c r="U18" s="384" t="s">
        <v>279</v>
      </c>
      <c r="V18" s="24"/>
      <c r="W18" s="7"/>
      <c r="X18" s="108"/>
      <c r="Y18" s="108"/>
      <c r="Z18" s="108"/>
      <c r="AA18" s="60" t="str">
        <f>"--- Achtung alte Termine vorhanden! ---"</f>
        <v>--- Achtung alte Termine vorhanden! ---</v>
      </c>
      <c r="AB18" s="60"/>
      <c r="AC18" s="656" t="str">
        <f t="array" aca="1" ref="AC18" ca="1">IFERROR(IF(ROW(AA10)&gt;COUNTA($AA$6:$AA$12),"",INDEX($AA:$AA,SMALL(IF($AA$6:$AA$12&lt;&gt;"",ROW($6:$12)),ROW(B4)))),"")</f>
        <v/>
      </c>
      <c r="AD18" s="129"/>
      <c r="AE18" s="129"/>
      <c r="AF18" s="129"/>
      <c r="AG18" s="60"/>
      <c r="AH18" s="60"/>
      <c r="AI18" s="108"/>
      <c r="AJ18" s="108"/>
      <c r="AK18" s="108"/>
      <c r="AL18" s="108"/>
      <c r="AM18" s="108"/>
      <c r="AN18" s="108"/>
      <c r="AO18" s="108"/>
      <c r="AP18" s="109"/>
      <c r="AQ18" s="109"/>
      <c r="AR18" s="109"/>
      <c r="AS18" s="71"/>
      <c r="AT18" s="109"/>
      <c r="AU18" s="109"/>
      <c r="AV18" s="109"/>
      <c r="AW18" s="109"/>
      <c r="AX18" s="109"/>
      <c r="AY18" s="109"/>
      <c r="AZ18" s="29"/>
      <c r="BA18" s="29"/>
      <c r="BB18" s="29"/>
      <c r="BC18" s="29"/>
      <c r="BD18" s="29"/>
    </row>
    <row r="19" spans="1:56" ht="21.95" customHeight="1" thickBot="1">
      <c r="A19" s="645"/>
      <c r="B19" s="650"/>
      <c r="C19" s="24"/>
      <c r="D19" s="24"/>
      <c r="E19" s="24"/>
      <c r="F19" s="24"/>
      <c r="G19" s="24"/>
      <c r="H19" s="24"/>
      <c r="I19" s="24"/>
      <c r="J19" s="24"/>
      <c r="K19" s="687" t="s">
        <v>207</v>
      </c>
      <c r="L19" s="688"/>
      <c r="M19" s="361"/>
      <c r="N19" s="361"/>
      <c r="O19" s="361"/>
      <c r="P19" s="696" t="s">
        <v>48</v>
      </c>
      <c r="Q19" s="696"/>
      <c r="R19" s="64"/>
      <c r="S19" s="670" t="s">
        <v>78</v>
      </c>
      <c r="T19" s="671"/>
      <c r="U19" s="384">
        <v>47.55</v>
      </c>
      <c r="V19" s="24"/>
      <c r="W19" s="7"/>
      <c r="X19" s="60"/>
      <c r="Y19" s="60"/>
      <c r="Z19" s="60"/>
      <c r="AA19" s="381"/>
      <c r="AB19" s="382"/>
      <c r="AC19" s="656" t="str">
        <f t="array" aca="1" ref="AC19" ca="1">IFERROR(IF(ROW(AA11)&gt;COUNTA($AA$6:$AA$12),"",INDEX($AA:$AA,SMALL(IF($AA$6:$AA$12&lt;&gt;"",ROW($6:$12)),ROW(B5)))),"")</f>
        <v/>
      </c>
      <c r="AD19" s="129"/>
      <c r="AE19" s="129"/>
      <c r="AF19" s="129"/>
      <c r="AG19" s="60"/>
      <c r="AH19" s="60"/>
      <c r="AI19" s="60"/>
      <c r="AJ19" s="60"/>
      <c r="AK19" s="60"/>
      <c r="AL19" s="60"/>
      <c r="AM19" s="60"/>
      <c r="AN19" s="60"/>
      <c r="AO19" s="60"/>
      <c r="AP19" s="107"/>
      <c r="AQ19" s="107"/>
      <c r="AR19" s="107"/>
      <c r="AS19" s="9"/>
      <c r="AT19" s="107"/>
      <c r="AU19" s="107"/>
      <c r="AV19" s="107"/>
      <c r="AW19" s="107"/>
      <c r="AX19" s="107"/>
      <c r="AY19" s="107"/>
      <c r="AZ19" s="9"/>
      <c r="BA19" s="9"/>
      <c r="BB19" s="9"/>
      <c r="BC19" s="9"/>
      <c r="BD19" s="9"/>
    </row>
    <row r="20" spans="1:56" ht="21.95" customHeight="1" thickBot="1">
      <c r="A20" s="645"/>
      <c r="B20" s="650"/>
      <c r="C20" s="24"/>
      <c r="D20" s="738" t="s">
        <v>146</v>
      </c>
      <c r="E20" s="739"/>
      <c r="F20" s="739"/>
      <c r="G20" s="740"/>
      <c r="H20" s="449">
        <f>IF(E21&lt;&gt;0,1,0)</f>
        <v>0</v>
      </c>
      <c r="I20" s="24"/>
      <c r="J20" s="24"/>
      <c r="K20" s="685" t="s">
        <v>208</v>
      </c>
      <c r="L20" s="686"/>
      <c r="M20" s="361"/>
      <c r="N20" s="361"/>
      <c r="O20" s="361"/>
      <c r="P20" s="697" t="str">
        <f ca="1">IF(AQ6&gt;"",AQ6,IF(AQ7&gt;"",AQ7,IF(AQ8&gt;"",AQ8,IF(AQ9&gt;"",AQ9,""))))</f>
        <v/>
      </c>
      <c r="Q20" s="697"/>
      <c r="R20" s="64"/>
      <c r="S20" s="670" t="s">
        <v>79</v>
      </c>
      <c r="T20" s="671"/>
      <c r="U20" s="384">
        <v>7.93</v>
      </c>
      <c r="V20" s="24"/>
      <c r="W20" s="7"/>
      <c r="X20" s="60"/>
      <c r="Y20" s="60"/>
      <c r="Z20" s="60"/>
      <c r="AA20" s="381"/>
      <c r="AB20" s="382"/>
      <c r="AC20" s="656" t="str">
        <f t="array" aca="1" ref="AC20" ca="1">IFERROR(IF(ROW(AA12)&gt;COUNTA($AA$6:$AA$12),"",INDEX($AA:$AA,SMALL(IF($AA$6:$AA$12&lt;&gt;"",ROW($6:$12)),ROW(B6)))),"")</f>
        <v/>
      </c>
      <c r="AD20" s="129"/>
      <c r="AE20" s="129"/>
      <c r="AF20" s="129"/>
      <c r="AG20" s="60"/>
      <c r="AH20" s="60"/>
      <c r="AI20" s="60"/>
      <c r="AJ20" s="60"/>
      <c r="AK20" s="60"/>
      <c r="AL20" s="60"/>
      <c r="AM20" s="60"/>
      <c r="AN20" s="60"/>
      <c r="AO20" s="60"/>
      <c r="AP20" s="107"/>
      <c r="AQ20" s="107"/>
      <c r="AR20" s="107"/>
      <c r="AS20" s="9"/>
      <c r="AT20" s="107"/>
      <c r="AU20" s="107"/>
      <c r="AV20" s="107"/>
      <c r="AW20" s="107"/>
      <c r="AX20" s="107"/>
      <c r="AY20" s="107"/>
      <c r="AZ20" s="9"/>
      <c r="BA20" s="9"/>
      <c r="BB20" s="9"/>
      <c r="BC20" s="9"/>
      <c r="BD20" s="9"/>
    </row>
    <row r="21" spans="1:56" ht="21.95" customHeight="1">
      <c r="A21" s="645"/>
      <c r="B21" s="650"/>
      <c r="C21" s="24"/>
      <c r="D21" s="115" t="s">
        <v>55</v>
      </c>
      <c r="E21" s="741"/>
      <c r="F21" s="742"/>
      <c r="G21" s="743"/>
      <c r="H21" s="449">
        <f>IF(E22&lt;&gt;0,1,0)</f>
        <v>0</v>
      </c>
      <c r="I21" s="24"/>
      <c r="J21" s="24"/>
      <c r="K21" s="159"/>
      <c r="L21" s="361"/>
      <c r="M21" s="374"/>
      <c r="N21" s="374"/>
      <c r="O21" s="375"/>
      <c r="P21" s="696" t="str">
        <f ca="1">IF(R25=1,"Anderer Tag:","Andere Tage:")</f>
        <v>Andere Tage:</v>
      </c>
      <c r="Q21" s="696"/>
      <c r="R21" s="24"/>
      <c r="S21" s="672" t="s">
        <v>73</v>
      </c>
      <c r="T21" s="673"/>
      <c r="U21" s="385" t="str">
        <f ca="1">TEXT(Sonne!C16,"hh:mm")&amp;" Uhr  MEZ"</f>
        <v>06:41 Uhr  MEZ</v>
      </c>
      <c r="V21" s="24"/>
      <c r="W21" s="7"/>
      <c r="X21" s="60"/>
      <c r="Y21" s="60"/>
      <c r="Z21" s="60"/>
      <c r="AA21" s="381"/>
      <c r="AB21" s="382"/>
      <c r="AC21" s="656" t="str">
        <f t="array" aca="1" ref="AC21" ca="1">IFERROR(IF(ROW(AA22)&gt;COUNTA($AA$6:$AA$12),"",INDEX($AA:$AA,SMALL(IF($AA$6:$AA$12&lt;&gt;"",ROW($6:$12)),ROW(B7)))),"")</f>
        <v/>
      </c>
      <c r="AD21" s="129"/>
      <c r="AE21" s="129"/>
      <c r="AF21" s="129"/>
      <c r="AG21" s="60"/>
      <c r="AH21" s="60"/>
      <c r="AI21" s="60"/>
      <c r="AJ21" s="60"/>
      <c r="AK21" s="60"/>
      <c r="AL21" s="60"/>
      <c r="AM21" s="60"/>
      <c r="AN21" s="60"/>
      <c r="AO21" s="60"/>
      <c r="AP21" s="107"/>
      <c r="AQ21" s="107"/>
      <c r="AR21" s="107"/>
      <c r="AS21" s="9"/>
      <c r="AT21" s="107"/>
      <c r="AU21" s="107"/>
      <c r="AV21" s="107"/>
      <c r="AW21" s="107"/>
      <c r="AX21" s="107"/>
      <c r="AY21" s="107"/>
      <c r="AZ21" s="9"/>
      <c r="BA21" s="9"/>
      <c r="BB21" s="9"/>
      <c r="BC21" s="9"/>
      <c r="BD21" s="9"/>
    </row>
    <row r="22" spans="1:56" ht="21.95" customHeight="1" thickBot="1">
      <c r="A22" s="645"/>
      <c r="B22" s="650"/>
      <c r="C22" s="24"/>
      <c r="D22" s="116" t="s">
        <v>54</v>
      </c>
      <c r="E22" s="744"/>
      <c r="F22" s="745"/>
      <c r="G22" s="746"/>
      <c r="H22" s="449">
        <f>H20+H21</f>
        <v>0</v>
      </c>
      <c r="I22" s="24"/>
      <c r="J22" s="24"/>
      <c r="K22" s="691" t="str">
        <f ca="1">IF(Termine!K58&gt;0,Kalender!AA18,"")</f>
        <v>--- Achtung alte Termine vorhanden! ---</v>
      </c>
      <c r="L22" s="691"/>
      <c r="M22" s="374"/>
      <c r="N22" s="374"/>
      <c r="O22" s="376"/>
      <c r="P22" s="696" t="str">
        <f ca="1">IF(AF6&gt;"",AF6,"")</f>
        <v/>
      </c>
      <c r="Q22" s="696"/>
      <c r="R22" s="348">
        <f ca="1">IF(P22&gt;"",1,0)</f>
        <v>0</v>
      </c>
      <c r="S22" s="674" t="s">
        <v>74</v>
      </c>
      <c r="T22" s="675"/>
      <c r="U22" s="157" t="str">
        <f ca="1">TEXT(Sonne!C17,"hh:mm")&amp;" Uhr  MEZ"</f>
        <v>12:36 Uhr  MEZ</v>
      </c>
      <c r="V22" s="24"/>
      <c r="W22" s="7"/>
      <c r="X22" s="60"/>
      <c r="Y22" s="60"/>
      <c r="Z22" s="60"/>
      <c r="AA22" s="60"/>
      <c r="AB22" s="60"/>
      <c r="AC22" s="363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107"/>
      <c r="AQ22" s="107"/>
      <c r="AR22" s="107"/>
      <c r="AS22" s="9"/>
      <c r="AT22" s="107"/>
      <c r="AU22" s="107"/>
      <c r="AV22" s="107"/>
      <c r="AW22" s="107"/>
      <c r="AX22" s="107"/>
      <c r="AY22" s="107"/>
      <c r="AZ22" s="9"/>
      <c r="BA22" s="9"/>
      <c r="BB22" s="9"/>
      <c r="BC22" s="9"/>
      <c r="BD22" s="9"/>
    </row>
    <row r="23" spans="1:56" ht="21.95" customHeight="1" thickBot="1">
      <c r="A23" s="645"/>
      <c r="B23" s="650"/>
      <c r="C23" s="24"/>
      <c r="D23" s="24"/>
      <c r="E23" s="24"/>
      <c r="F23" s="24"/>
      <c r="G23" s="24"/>
      <c r="H23" s="24"/>
      <c r="I23" s="24"/>
      <c r="J23" s="24"/>
      <c r="K23" s="292"/>
      <c r="L23" s="361"/>
      <c r="M23" s="374"/>
      <c r="N23" s="374"/>
      <c r="O23" s="376"/>
      <c r="P23" s="696" t="str">
        <f ca="1">IF(AF7&gt;"",AF7,"")</f>
        <v/>
      </c>
      <c r="Q23" s="696"/>
      <c r="R23" s="348">
        <f ca="1">IF(P23&gt;"",1,0)</f>
        <v>0</v>
      </c>
      <c r="S23" s="676" t="s">
        <v>72</v>
      </c>
      <c r="T23" s="677"/>
      <c r="U23" s="158" t="str">
        <f ca="1">TEXT(Sonne!C18,"hh:mm")&amp;" Uhr  MEZ"</f>
        <v>18:32 Uhr  MEZ</v>
      </c>
      <c r="V23" s="24"/>
      <c r="W23" s="7"/>
      <c r="X23" s="60"/>
      <c r="Y23" s="60"/>
      <c r="Z23" s="60"/>
      <c r="AA23" s="60"/>
      <c r="AB23" s="60"/>
      <c r="AC23" s="363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107"/>
      <c r="AQ23" s="107"/>
      <c r="AR23" s="107"/>
      <c r="AS23" s="9"/>
      <c r="AT23" s="107"/>
      <c r="AU23" s="107"/>
      <c r="AV23" s="107"/>
      <c r="AW23" s="107"/>
      <c r="AX23" s="107"/>
      <c r="AY23" s="107"/>
      <c r="AZ23" s="9"/>
      <c r="BA23" s="9"/>
      <c r="BB23" s="9"/>
      <c r="BC23" s="9"/>
      <c r="BD23" s="9"/>
    </row>
    <row r="24" spans="1:56" ht="21.95" customHeight="1" thickBot="1">
      <c r="A24" s="645"/>
      <c r="B24" s="650"/>
      <c r="C24" s="24"/>
      <c r="D24" s="662" t="s">
        <v>222</v>
      </c>
      <c r="E24" s="663"/>
      <c r="F24" s="663"/>
      <c r="G24" s="663"/>
      <c r="H24" s="664"/>
      <c r="I24" s="24"/>
      <c r="J24" s="24"/>
      <c r="K24" s="296"/>
      <c r="L24" s="361"/>
      <c r="M24" s="374"/>
      <c r="N24" s="374"/>
      <c r="O24" s="374"/>
      <c r="P24" s="696" t="str">
        <f ca="1">IF(AF8&gt;"",AF8,"")</f>
        <v/>
      </c>
      <c r="Q24" s="696"/>
      <c r="R24" s="348">
        <f ca="1">IF(P24&gt;"",1,0)</f>
        <v>0</v>
      </c>
      <c r="S24" s="24"/>
      <c r="T24" s="24"/>
      <c r="U24" s="24"/>
      <c r="V24" s="24"/>
      <c r="W24" s="7"/>
      <c r="X24" s="60"/>
      <c r="Y24" s="60"/>
      <c r="Z24" s="60"/>
      <c r="AA24" s="60"/>
      <c r="AB24" s="60"/>
      <c r="AC24" s="363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9"/>
      <c r="BA24" s="9"/>
      <c r="BB24" s="9"/>
      <c r="BC24" s="9"/>
      <c r="BD24" s="9"/>
    </row>
    <row r="25" spans="1:56" s="59" customFormat="1" ht="21.95" customHeight="1">
      <c r="A25" s="645"/>
      <c r="B25" s="650"/>
      <c r="C25" s="24"/>
      <c r="D25" s="24"/>
      <c r="E25" s="24"/>
      <c r="F25" s="24"/>
      <c r="G25" s="24"/>
      <c r="H25" s="24"/>
      <c r="I25" s="24"/>
      <c r="J25" s="24"/>
      <c r="K25" s="292"/>
      <c r="L25" s="361"/>
      <c r="M25" s="374"/>
      <c r="N25" s="374"/>
      <c r="O25" s="374"/>
      <c r="P25" s="696" t="str">
        <f ca="1">IF(OR(D6=Feiertage!B51-3,D6=Feiertage!B51-2,D6=Feiertage!B51-1,D6=Feiertage!B51),Feiertage!B54&amp;"  Muttertag","")</f>
        <v/>
      </c>
      <c r="Q25" s="696"/>
      <c r="R25" s="349">
        <f ca="1">SUM(R22:R24)</f>
        <v>0</v>
      </c>
      <c r="S25" s="24"/>
      <c r="T25" s="24"/>
      <c r="U25" s="24"/>
      <c r="V25" s="24"/>
      <c r="W25" s="7"/>
      <c r="X25" s="60"/>
      <c r="Y25" s="60"/>
      <c r="Z25" s="60"/>
      <c r="AA25" s="60"/>
      <c r="AB25" s="60"/>
      <c r="AC25" s="363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</row>
    <row r="26" spans="1:56" s="59" customFormat="1" ht="21.95" customHeight="1">
      <c r="A26" s="645"/>
      <c r="B26" s="650"/>
      <c r="C26" s="24"/>
      <c r="D26" s="24"/>
      <c r="E26" s="24"/>
      <c r="F26" s="24"/>
      <c r="G26" s="24"/>
      <c r="H26" s="24"/>
      <c r="I26" s="24"/>
      <c r="J26" s="24"/>
      <c r="K26" s="292"/>
      <c r="L26" s="361"/>
      <c r="M26" s="374"/>
      <c r="N26" s="374"/>
      <c r="O26" s="374"/>
      <c r="P26" s="163"/>
      <c r="Q26" s="24"/>
      <c r="R26" s="24"/>
      <c r="S26" s="24"/>
      <c r="T26" s="24"/>
      <c r="U26" s="24"/>
      <c r="V26" s="24"/>
      <c r="W26" s="7"/>
      <c r="X26" s="58"/>
      <c r="Y26" s="58"/>
      <c r="Z26" s="60"/>
      <c r="AA26" s="60"/>
      <c r="AB26" s="60"/>
      <c r="AC26" s="363"/>
      <c r="AD26" s="60"/>
      <c r="AE26" s="60"/>
      <c r="AF26" s="60"/>
      <c r="AG26" s="60"/>
      <c r="AH26" s="60"/>
      <c r="AI26" s="60"/>
      <c r="AJ26" s="60"/>
      <c r="AR26" s="60"/>
      <c r="AS26" s="60"/>
      <c r="AT26" s="60"/>
      <c r="AU26" s="60"/>
      <c r="AV26" s="60"/>
      <c r="AW26" s="60"/>
      <c r="AX26" s="60"/>
      <c r="AY26" s="60"/>
    </row>
    <row r="27" spans="1:56" s="59" customFormat="1" ht="21.95" customHeight="1">
      <c r="A27" s="645"/>
      <c r="B27" s="650"/>
      <c r="C27" s="24"/>
      <c r="D27" s="24"/>
      <c r="E27" s="24"/>
      <c r="F27" s="24"/>
      <c r="G27" s="24"/>
      <c r="H27" s="24"/>
      <c r="I27" s="24"/>
      <c r="J27" s="24"/>
      <c r="K27" s="159"/>
      <c r="L27" s="361"/>
      <c r="M27" s="374"/>
      <c r="N27" s="374"/>
      <c r="O27" s="374"/>
      <c r="P27" s="163"/>
      <c r="Q27" s="24"/>
      <c r="R27" s="24"/>
      <c r="S27" s="24"/>
      <c r="T27" s="24"/>
      <c r="U27" s="24"/>
      <c r="V27" s="24"/>
      <c r="W27" s="7"/>
      <c r="X27" s="58"/>
      <c r="Y27" s="58"/>
      <c r="Z27" s="60"/>
      <c r="AA27" s="60"/>
      <c r="AB27" s="60"/>
      <c r="AC27" s="363"/>
      <c r="AD27" s="60"/>
      <c r="AE27" s="60"/>
      <c r="AF27" s="60"/>
      <c r="AG27" s="60"/>
      <c r="AH27" s="60"/>
      <c r="AI27" s="60"/>
      <c r="AJ27" s="60"/>
      <c r="AR27" s="60"/>
      <c r="AS27" s="60"/>
      <c r="AT27" s="60"/>
      <c r="AU27" s="60"/>
      <c r="AV27" s="60"/>
      <c r="AW27" s="60"/>
      <c r="AX27" s="60"/>
      <c r="AY27" s="60"/>
    </row>
    <row r="28" spans="1:56" s="59" customFormat="1" ht="21.95" customHeight="1">
      <c r="A28" s="645"/>
      <c r="B28" s="650"/>
      <c r="C28" s="24"/>
      <c r="D28" s="24"/>
      <c r="E28" s="24"/>
      <c r="F28" s="24"/>
      <c r="G28" s="24"/>
      <c r="H28" s="24"/>
      <c r="I28" s="24"/>
      <c r="J28" s="24"/>
      <c r="K28" s="159"/>
      <c r="L28" s="361"/>
      <c r="M28" s="374"/>
      <c r="N28" s="374"/>
      <c r="O28" s="374"/>
      <c r="P28" s="163"/>
      <c r="Q28" s="24"/>
      <c r="R28" s="24"/>
      <c r="S28" s="24"/>
      <c r="T28" s="24"/>
      <c r="U28" s="24"/>
      <c r="V28" s="24"/>
      <c r="W28" s="7"/>
      <c r="X28" s="58"/>
      <c r="Y28" s="58"/>
      <c r="Z28" s="60"/>
      <c r="AA28" s="60"/>
      <c r="AB28" s="60"/>
      <c r="AC28" s="363"/>
      <c r="AD28" s="60"/>
      <c r="AE28" s="60"/>
      <c r="AF28" s="60"/>
      <c r="AG28" s="60"/>
      <c r="AH28" s="60"/>
      <c r="AI28" s="60"/>
      <c r="AJ28" s="60"/>
      <c r="AR28" s="60"/>
      <c r="AS28" s="60"/>
      <c r="AT28" s="60"/>
      <c r="AU28" s="60"/>
      <c r="AV28" s="60"/>
      <c r="AW28" s="60"/>
      <c r="AX28" s="60"/>
      <c r="AY28" s="60"/>
    </row>
    <row r="29" spans="1:56" s="59" customFormat="1" ht="21.95" customHeight="1">
      <c r="A29" s="645"/>
      <c r="B29" s="650"/>
      <c r="C29" s="24"/>
      <c r="D29" s="24"/>
      <c r="E29" s="24"/>
      <c r="F29" s="24"/>
      <c r="G29" s="24"/>
      <c r="H29" s="24"/>
      <c r="I29" s="24"/>
      <c r="J29" s="24"/>
      <c r="K29" s="159"/>
      <c r="L29" s="361"/>
      <c r="M29" s="374"/>
      <c r="N29" s="374"/>
      <c r="O29" s="374"/>
      <c r="P29" s="374"/>
      <c r="Q29" s="163"/>
      <c r="R29" s="24"/>
      <c r="S29" s="24"/>
      <c r="T29" s="24"/>
      <c r="U29" s="24"/>
      <c r="V29" s="24"/>
      <c r="W29" s="7"/>
      <c r="X29" s="58"/>
      <c r="Y29" s="58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R29" s="60"/>
      <c r="AS29" s="60"/>
      <c r="AT29" s="60"/>
      <c r="AU29" s="60"/>
      <c r="AV29" s="60"/>
      <c r="AW29" s="60"/>
      <c r="AX29" s="60"/>
      <c r="AY29" s="60"/>
    </row>
    <row r="30" spans="1:56" s="59" customFormat="1" ht="15" customHeight="1">
      <c r="A30" s="645"/>
      <c r="B30" s="650"/>
      <c r="C30" s="24"/>
      <c r="D30" s="24"/>
      <c r="E30" s="24"/>
      <c r="F30" s="24"/>
      <c r="G30" s="24"/>
      <c r="H30" s="24"/>
      <c r="I30" s="24"/>
      <c r="J30" s="24"/>
      <c r="K30" s="159"/>
      <c r="L30" s="361"/>
      <c r="M30" s="374"/>
      <c r="N30" s="374"/>
      <c r="O30" s="374"/>
      <c r="P30" s="374"/>
      <c r="Q30" s="163"/>
      <c r="R30" s="24"/>
      <c r="S30" s="24"/>
      <c r="T30" s="24"/>
      <c r="U30" s="24"/>
      <c r="V30" s="24"/>
      <c r="W30" s="7"/>
      <c r="X30" s="58"/>
      <c r="Y30" s="58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R30" s="60"/>
      <c r="AS30" s="60"/>
      <c r="AT30" s="60"/>
      <c r="AU30" s="60"/>
      <c r="AV30" s="60"/>
      <c r="AW30" s="60"/>
      <c r="AX30" s="60"/>
      <c r="AY30" s="60"/>
    </row>
    <row r="31" spans="1:56" s="59" customFormat="1" ht="15" customHeight="1">
      <c r="A31" s="645"/>
      <c r="B31" s="650"/>
      <c r="C31" s="24"/>
      <c r="D31" s="24"/>
      <c r="E31" s="24"/>
      <c r="F31" s="24"/>
      <c r="G31" s="24"/>
      <c r="H31" s="24"/>
      <c r="I31" s="24"/>
      <c r="J31" s="24"/>
      <c r="K31" s="159"/>
      <c r="L31" s="361"/>
      <c r="M31" s="374"/>
      <c r="N31" s="374"/>
      <c r="O31" s="374"/>
      <c r="P31" s="374"/>
      <c r="Q31" s="163"/>
      <c r="R31" s="24"/>
      <c r="S31" s="24"/>
      <c r="T31" s="24"/>
      <c r="U31" s="24"/>
      <c r="V31" s="24"/>
      <c r="W31" s="7"/>
      <c r="X31" s="58"/>
      <c r="Y31" s="58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R31" s="60"/>
      <c r="AS31" s="60"/>
      <c r="AT31" s="60"/>
      <c r="AU31" s="60"/>
      <c r="AV31" s="60"/>
      <c r="AW31" s="60"/>
      <c r="AX31" s="60"/>
      <c r="AY31" s="60"/>
    </row>
    <row r="32" spans="1:56" s="59" customFormat="1" ht="15" customHeight="1">
      <c r="A32" s="645"/>
      <c r="B32" s="650"/>
      <c r="C32" s="24"/>
      <c r="D32" s="24"/>
      <c r="E32" s="24"/>
      <c r="F32" s="24"/>
      <c r="G32" s="24"/>
      <c r="H32" s="24"/>
      <c r="I32" s="24"/>
      <c r="J32" s="24"/>
      <c r="K32" s="159"/>
      <c r="L32" s="361"/>
      <c r="M32" s="374"/>
      <c r="N32" s="374"/>
      <c r="O32" s="374"/>
      <c r="P32" s="374"/>
      <c r="Q32" s="163"/>
      <c r="R32" s="24"/>
      <c r="S32" s="24"/>
      <c r="T32" s="24"/>
      <c r="U32" s="24"/>
      <c r="V32" s="24"/>
      <c r="W32" s="7"/>
      <c r="X32" s="58"/>
      <c r="Y32" s="58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R32" s="60"/>
      <c r="AS32" s="60"/>
      <c r="AT32" s="60"/>
      <c r="AU32" s="60"/>
      <c r="AV32" s="60"/>
      <c r="AW32" s="60"/>
      <c r="AX32" s="60"/>
      <c r="AY32" s="60"/>
    </row>
    <row r="33" spans="1:51" s="59" customFormat="1" ht="15" customHeight="1">
      <c r="A33" s="645"/>
      <c r="B33" s="650"/>
      <c r="C33" s="24"/>
      <c r="D33" s="24"/>
      <c r="E33" s="24"/>
      <c r="F33" s="24"/>
      <c r="G33" s="24"/>
      <c r="H33" s="24"/>
      <c r="I33" s="24"/>
      <c r="J33" s="24"/>
      <c r="K33" s="159"/>
      <c r="L33" s="361"/>
      <c r="M33" s="374"/>
      <c r="N33" s="374"/>
      <c r="O33" s="374"/>
      <c r="P33" s="374"/>
      <c r="Q33" s="163"/>
      <c r="R33" s="24"/>
      <c r="S33" s="24"/>
      <c r="T33" s="24"/>
      <c r="U33" s="24"/>
      <c r="V33" s="24"/>
      <c r="W33" s="7"/>
      <c r="X33" s="58"/>
      <c r="Y33" s="58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R33" s="60"/>
      <c r="AS33" s="60"/>
      <c r="AT33" s="60"/>
      <c r="AU33" s="60"/>
      <c r="AV33" s="60"/>
      <c r="AW33" s="60"/>
      <c r="AX33" s="60"/>
      <c r="AY33" s="60"/>
    </row>
    <row r="34" spans="1:51" s="59" customFormat="1" ht="15" customHeight="1">
      <c r="A34" s="645"/>
      <c r="B34" s="650"/>
      <c r="C34" s="24"/>
      <c r="D34" s="24"/>
      <c r="E34" s="24"/>
      <c r="F34" s="24"/>
      <c r="G34" s="24"/>
      <c r="H34" s="24"/>
      <c r="I34" s="24"/>
      <c r="J34" s="24"/>
      <c r="K34" s="159"/>
      <c r="L34" s="361"/>
      <c r="M34" s="374"/>
      <c r="N34" s="374"/>
      <c r="O34" s="374"/>
      <c r="P34" s="374"/>
      <c r="Q34" s="163"/>
      <c r="R34" s="24"/>
      <c r="S34" s="24"/>
      <c r="T34" s="24"/>
      <c r="U34" s="24"/>
      <c r="V34" s="24"/>
      <c r="W34" s="7"/>
      <c r="X34" s="58"/>
      <c r="Y34" s="58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R34" s="60"/>
      <c r="AS34" s="60"/>
      <c r="AT34" s="60"/>
      <c r="AU34" s="60"/>
      <c r="AV34" s="60"/>
      <c r="AW34" s="60"/>
      <c r="AX34" s="60"/>
      <c r="AY34" s="60"/>
    </row>
    <row r="35" spans="1:51" s="59" customFormat="1" ht="15" customHeight="1">
      <c r="A35" s="645"/>
      <c r="B35" s="650"/>
      <c r="C35" s="24"/>
      <c r="D35" s="24"/>
      <c r="E35" s="24"/>
      <c r="F35" s="24"/>
      <c r="G35" s="24"/>
      <c r="H35" s="24"/>
      <c r="I35" s="24"/>
      <c r="J35" s="24"/>
      <c r="K35" s="159"/>
      <c r="L35" s="361"/>
      <c r="M35" s="374"/>
      <c r="N35" s="374"/>
      <c r="O35" s="374"/>
      <c r="P35" s="374"/>
      <c r="Q35" s="163"/>
      <c r="R35" s="24"/>
      <c r="S35" s="24"/>
      <c r="T35" s="24"/>
      <c r="U35" s="24"/>
      <c r="V35" s="24"/>
      <c r="W35" s="7"/>
      <c r="X35" s="58"/>
      <c r="Y35" s="58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R35" s="60"/>
      <c r="AS35" s="60"/>
      <c r="AT35" s="60"/>
      <c r="AU35" s="60"/>
      <c r="AV35" s="60"/>
      <c r="AW35" s="60"/>
      <c r="AX35" s="60"/>
      <c r="AY35" s="60"/>
    </row>
    <row r="36" spans="1:51" s="59" customFormat="1" ht="15" customHeight="1">
      <c r="A36" s="645"/>
      <c r="B36" s="650"/>
      <c r="C36" s="24"/>
      <c r="D36" s="24"/>
      <c r="E36" s="24"/>
      <c r="F36" s="24"/>
      <c r="G36" s="24"/>
      <c r="H36" s="24"/>
      <c r="I36" s="24"/>
      <c r="J36" s="24"/>
      <c r="K36" s="159"/>
      <c r="L36" s="361"/>
      <c r="M36" s="374"/>
      <c r="N36" s="374"/>
      <c r="O36" s="374"/>
      <c r="P36" s="374"/>
      <c r="Q36" s="163"/>
      <c r="R36" s="24"/>
      <c r="S36" s="24"/>
      <c r="T36" s="24"/>
      <c r="U36" s="24"/>
      <c r="V36" s="24"/>
      <c r="W36" s="7"/>
      <c r="X36" s="58"/>
      <c r="Y36" s="58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R36" s="60"/>
      <c r="AS36" s="60"/>
      <c r="AT36" s="60"/>
      <c r="AU36" s="60"/>
      <c r="AV36" s="60"/>
      <c r="AW36" s="60"/>
      <c r="AX36" s="60"/>
      <c r="AY36" s="60"/>
    </row>
    <row r="37" spans="1:51" s="59" customFormat="1" ht="15" customHeight="1">
      <c r="A37" s="645"/>
      <c r="B37" s="650"/>
      <c r="C37" s="24"/>
      <c r="D37" s="24"/>
      <c r="E37" s="24"/>
      <c r="F37" s="24"/>
      <c r="G37" s="24"/>
      <c r="H37" s="24"/>
      <c r="I37" s="24"/>
      <c r="J37" s="24"/>
      <c r="K37" s="159"/>
      <c r="L37" s="361"/>
      <c r="M37" s="374"/>
      <c r="N37" s="374"/>
      <c r="O37" s="374"/>
      <c r="P37" s="374"/>
      <c r="Q37" s="163"/>
      <c r="R37" s="24"/>
      <c r="S37" s="24"/>
      <c r="T37" s="24"/>
      <c r="U37" s="24"/>
      <c r="V37" s="24"/>
      <c r="W37" s="7"/>
      <c r="X37" s="58"/>
      <c r="Y37" s="58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R37" s="60"/>
      <c r="AS37" s="60"/>
      <c r="AT37" s="60"/>
      <c r="AU37" s="60"/>
      <c r="AV37" s="60"/>
      <c r="AW37" s="60"/>
      <c r="AX37" s="60"/>
      <c r="AY37" s="60"/>
    </row>
    <row r="38" spans="1:51" s="59" customFormat="1" ht="15" customHeight="1">
      <c r="A38" s="645"/>
      <c r="B38" s="650"/>
      <c r="C38" s="24"/>
      <c r="D38" s="24"/>
      <c r="E38" s="24"/>
      <c r="F38" s="24"/>
      <c r="G38" s="24"/>
      <c r="H38" s="24"/>
      <c r="I38" s="24"/>
      <c r="J38" s="24"/>
      <c r="K38" s="159"/>
      <c r="L38" s="361"/>
      <c r="M38" s="374"/>
      <c r="N38" s="374"/>
      <c r="O38" s="374"/>
      <c r="P38" s="374"/>
      <c r="Q38" s="163"/>
      <c r="R38" s="24"/>
      <c r="S38" s="24"/>
      <c r="T38" s="24"/>
      <c r="U38" s="24"/>
      <c r="V38" s="24"/>
      <c r="W38" s="7"/>
      <c r="X38" s="58"/>
      <c r="Y38" s="58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R38" s="60"/>
      <c r="AS38" s="60"/>
      <c r="AT38" s="60"/>
      <c r="AU38" s="60"/>
      <c r="AV38" s="60"/>
      <c r="AW38" s="60"/>
      <c r="AX38" s="60"/>
      <c r="AY38" s="60"/>
    </row>
    <row r="39" spans="1:51" s="59" customFormat="1" ht="15" customHeight="1">
      <c r="A39" s="645"/>
      <c r="B39" s="650"/>
      <c r="C39" s="24"/>
      <c r="D39" s="24"/>
      <c r="E39" s="24"/>
      <c r="F39" s="24"/>
      <c r="G39" s="24"/>
      <c r="H39" s="24"/>
      <c r="I39" s="24"/>
      <c r="J39" s="24"/>
      <c r="K39" s="159"/>
      <c r="L39" s="361"/>
      <c r="M39" s="374"/>
      <c r="N39" s="374"/>
      <c r="O39" s="374"/>
      <c r="P39" s="374"/>
      <c r="Q39" s="163"/>
      <c r="R39" s="24"/>
      <c r="S39" s="24"/>
      <c r="T39" s="24"/>
      <c r="U39" s="24"/>
      <c r="V39" s="24"/>
      <c r="W39" s="7"/>
      <c r="X39" s="58"/>
      <c r="Y39" s="58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R39" s="60"/>
      <c r="AS39" s="60"/>
      <c r="AT39" s="60"/>
      <c r="AU39" s="60"/>
      <c r="AV39" s="60"/>
      <c r="AW39" s="60"/>
      <c r="AX39" s="60"/>
      <c r="AY39" s="60"/>
    </row>
    <row r="40" spans="1:51" s="59" customFormat="1" ht="15" customHeight="1">
      <c r="A40" s="645"/>
      <c r="B40" s="650"/>
      <c r="C40" s="24"/>
      <c r="D40" s="24"/>
      <c r="E40" s="24"/>
      <c r="F40" s="24"/>
      <c r="G40" s="24"/>
      <c r="H40" s="24"/>
      <c r="I40" s="24"/>
      <c r="J40" s="24"/>
      <c r="K40" s="159"/>
      <c r="L40" s="361"/>
      <c r="M40" s="374"/>
      <c r="N40" s="374"/>
      <c r="O40" s="374"/>
      <c r="P40" s="374"/>
      <c r="Q40" s="163"/>
      <c r="R40" s="24"/>
      <c r="S40" s="24"/>
      <c r="T40" s="24"/>
      <c r="U40" s="24"/>
      <c r="V40" s="24"/>
      <c r="W40" s="7"/>
      <c r="X40" s="58"/>
      <c r="Y40" s="58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R40" s="60"/>
      <c r="AS40" s="60"/>
      <c r="AT40" s="60"/>
      <c r="AU40" s="60"/>
      <c r="AV40" s="60"/>
      <c r="AW40" s="60"/>
      <c r="AX40" s="60"/>
      <c r="AY40" s="60"/>
    </row>
    <row r="41" spans="1:51" s="59" customFormat="1" ht="15" customHeight="1">
      <c r="A41" s="645"/>
      <c r="B41" s="650"/>
      <c r="C41" s="24"/>
      <c r="D41" s="24"/>
      <c r="E41" s="24"/>
      <c r="F41" s="24"/>
      <c r="G41" s="24"/>
      <c r="H41" s="24"/>
      <c r="I41" s="24"/>
      <c r="J41" s="24"/>
      <c r="K41" s="159"/>
      <c r="L41" s="361"/>
      <c r="M41" s="361"/>
      <c r="N41" s="361"/>
      <c r="O41" s="361"/>
      <c r="P41" s="361"/>
      <c r="Q41" s="163"/>
      <c r="R41" s="24"/>
      <c r="S41" s="24"/>
      <c r="T41" s="24"/>
      <c r="U41" s="24"/>
      <c r="V41" s="24"/>
      <c r="W41" s="7"/>
      <c r="X41" s="58"/>
      <c r="Y41" s="58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R41" s="60"/>
      <c r="AS41" s="60"/>
      <c r="AT41" s="60"/>
      <c r="AU41" s="60"/>
      <c r="AV41" s="60"/>
      <c r="AW41" s="60"/>
      <c r="AX41" s="60"/>
      <c r="AY41" s="60"/>
    </row>
    <row r="42" spans="1:51" s="59" customFormat="1" ht="15" customHeight="1">
      <c r="A42" s="645"/>
      <c r="B42" s="650"/>
      <c r="C42" s="24"/>
      <c r="D42" s="24"/>
      <c r="E42" s="24"/>
      <c r="F42" s="24"/>
      <c r="G42" s="24"/>
      <c r="H42" s="24"/>
      <c r="I42" s="24"/>
      <c r="J42" s="24"/>
      <c r="K42" s="159"/>
      <c r="L42" s="361"/>
      <c r="M42" s="361"/>
      <c r="N42" s="361"/>
      <c r="O42" s="361"/>
      <c r="P42" s="361"/>
      <c r="Q42" s="163"/>
      <c r="R42" s="24"/>
      <c r="S42" s="24"/>
      <c r="T42" s="24"/>
      <c r="U42" s="24"/>
      <c r="V42" s="24"/>
      <c r="W42" s="7"/>
      <c r="X42" s="58"/>
      <c r="Y42" s="58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R42" s="60"/>
      <c r="AS42" s="60"/>
      <c r="AT42" s="60"/>
      <c r="AU42" s="60"/>
      <c r="AV42" s="60"/>
      <c r="AW42" s="60"/>
      <c r="AX42" s="60"/>
      <c r="AY42" s="60"/>
    </row>
    <row r="43" spans="1:51" s="59" customFormat="1" ht="15" customHeight="1">
      <c r="A43" s="645"/>
      <c r="B43" s="650"/>
      <c r="C43" s="24"/>
      <c r="D43" s="24"/>
      <c r="E43" s="24"/>
      <c r="F43" s="24"/>
      <c r="G43" s="24"/>
      <c r="H43" s="24"/>
      <c r="I43" s="24"/>
      <c r="J43" s="24"/>
      <c r="K43" s="159"/>
      <c r="L43" s="361"/>
      <c r="M43" s="361"/>
      <c r="N43" s="361"/>
      <c r="O43" s="361"/>
      <c r="P43" s="361"/>
      <c r="Q43" s="163"/>
      <c r="R43" s="24"/>
      <c r="S43" s="24"/>
      <c r="T43" s="24"/>
      <c r="U43" s="24"/>
      <c r="V43" s="24"/>
      <c r="W43" s="7"/>
      <c r="X43" s="58"/>
      <c r="Y43" s="58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R43" s="60"/>
      <c r="AS43" s="60"/>
      <c r="AT43" s="60"/>
      <c r="AU43" s="60"/>
      <c r="AV43" s="60"/>
      <c r="AW43" s="60"/>
      <c r="AX43" s="60"/>
      <c r="AY43" s="60"/>
    </row>
    <row r="44" spans="1:51" s="59" customFormat="1" ht="15" customHeight="1">
      <c r="A44" s="645"/>
      <c r="B44" s="650"/>
      <c r="C44" s="24"/>
      <c r="D44" s="24"/>
      <c r="E44" s="24"/>
      <c r="F44" s="24"/>
      <c r="G44" s="24"/>
      <c r="H44" s="24"/>
      <c r="I44" s="24"/>
      <c r="J44" s="24"/>
      <c r="K44" s="159"/>
      <c r="L44" s="361"/>
      <c r="M44" s="361"/>
      <c r="N44" s="361"/>
      <c r="O44" s="361"/>
      <c r="P44" s="361"/>
      <c r="Q44" s="163"/>
      <c r="R44" s="24"/>
      <c r="S44" s="24"/>
      <c r="T44" s="24"/>
      <c r="U44" s="24"/>
      <c r="V44" s="24"/>
      <c r="W44" s="7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R44" s="60"/>
      <c r="AS44" s="60"/>
      <c r="AT44" s="60"/>
      <c r="AU44" s="60"/>
      <c r="AV44" s="60"/>
      <c r="AW44" s="60"/>
      <c r="AX44" s="60"/>
      <c r="AY44" s="60"/>
    </row>
    <row r="45" spans="1:51" s="59" customFormat="1" ht="15" customHeight="1">
      <c r="A45" s="645"/>
      <c r="B45" s="650"/>
      <c r="C45" s="24"/>
      <c r="D45" s="24"/>
      <c r="E45" s="24"/>
      <c r="F45" s="24"/>
      <c r="G45" s="24"/>
      <c r="H45" s="24"/>
      <c r="I45" s="24"/>
      <c r="J45" s="24"/>
      <c r="K45" s="159"/>
      <c r="L45" s="361"/>
      <c r="M45" s="361"/>
      <c r="N45" s="361"/>
      <c r="O45" s="361"/>
      <c r="P45" s="361"/>
      <c r="Q45" s="163"/>
      <c r="R45" s="24"/>
      <c r="S45" s="24"/>
      <c r="T45" s="24"/>
      <c r="U45" s="24"/>
      <c r="V45" s="24"/>
      <c r="W45" s="7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R45" s="60"/>
      <c r="AS45" s="60"/>
      <c r="AT45" s="60"/>
      <c r="AU45" s="60"/>
      <c r="AV45" s="60"/>
      <c r="AW45" s="60"/>
      <c r="AX45" s="60"/>
      <c r="AY45" s="60"/>
    </row>
    <row r="46" spans="1:51" s="59" customFormat="1" ht="15" customHeight="1">
      <c r="A46" s="645"/>
      <c r="B46" s="650"/>
      <c r="C46" s="24"/>
      <c r="D46" s="24"/>
      <c r="E46" s="24"/>
      <c r="F46" s="24"/>
      <c r="G46" s="24"/>
      <c r="H46" s="24"/>
      <c r="I46" s="24"/>
      <c r="J46" s="24"/>
      <c r="K46" s="159"/>
      <c r="L46" s="361"/>
      <c r="M46" s="361"/>
      <c r="N46" s="361"/>
      <c r="O46" s="361"/>
      <c r="P46" s="361"/>
      <c r="Q46" s="163"/>
      <c r="R46" s="24"/>
      <c r="S46" s="24"/>
      <c r="T46" s="24"/>
      <c r="U46" s="24"/>
      <c r="V46" s="24"/>
      <c r="W46" s="7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R46" s="60"/>
      <c r="AS46" s="60"/>
      <c r="AT46" s="60"/>
      <c r="AU46" s="60"/>
      <c r="AV46" s="60"/>
      <c r="AW46" s="60"/>
      <c r="AX46" s="60"/>
      <c r="AY46" s="60"/>
    </row>
    <row r="47" spans="1:51" s="59" customFormat="1" ht="15" customHeight="1">
      <c r="A47" s="645"/>
      <c r="B47" s="650"/>
      <c r="C47" s="24"/>
      <c r="D47" s="24"/>
      <c r="E47" s="24"/>
      <c r="F47" s="24"/>
      <c r="G47" s="24"/>
      <c r="H47" s="24"/>
      <c r="I47" s="24"/>
      <c r="J47" s="24"/>
      <c r="K47" s="159"/>
      <c r="L47" s="361"/>
      <c r="M47" s="361"/>
      <c r="N47" s="361"/>
      <c r="O47" s="361"/>
      <c r="P47" s="361"/>
      <c r="Q47" s="163"/>
      <c r="R47" s="24"/>
      <c r="S47" s="24"/>
      <c r="T47" s="24"/>
      <c r="U47" s="24"/>
      <c r="V47" s="24"/>
      <c r="W47" s="7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R47" s="60"/>
      <c r="AS47" s="60"/>
      <c r="AT47" s="60"/>
      <c r="AU47" s="60"/>
      <c r="AV47" s="60"/>
      <c r="AW47" s="60"/>
      <c r="AX47" s="60"/>
      <c r="AY47" s="60"/>
    </row>
    <row r="48" spans="1:51" s="59" customFormat="1" ht="15" customHeight="1">
      <c r="A48" s="645"/>
      <c r="B48" s="650"/>
      <c r="C48" s="24"/>
      <c r="D48" s="24"/>
      <c r="E48" s="24"/>
      <c r="F48" s="24"/>
      <c r="G48" s="24"/>
      <c r="H48" s="24"/>
      <c r="I48" s="24"/>
      <c r="J48" s="24"/>
      <c r="K48" s="159"/>
      <c r="L48" s="361"/>
      <c r="M48" s="361"/>
      <c r="N48" s="361"/>
      <c r="O48" s="361"/>
      <c r="P48" s="361"/>
      <c r="Q48" s="163"/>
      <c r="R48" s="24"/>
      <c r="S48" s="24"/>
      <c r="T48" s="24"/>
      <c r="U48" s="24"/>
      <c r="V48" s="24"/>
      <c r="W48" s="7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R48" s="60"/>
      <c r="AS48" s="60"/>
      <c r="AT48" s="60"/>
      <c r="AU48" s="60"/>
      <c r="AV48" s="60"/>
      <c r="AW48" s="60"/>
      <c r="AX48" s="60"/>
      <c r="AY48" s="60"/>
    </row>
    <row r="49" spans="1:51" s="59" customFormat="1" ht="15" customHeight="1">
      <c r="A49" s="645"/>
      <c r="B49" s="650"/>
      <c r="C49" s="24"/>
      <c r="D49" s="24"/>
      <c r="E49" s="24"/>
      <c r="F49" s="24"/>
      <c r="G49" s="24"/>
      <c r="H49" s="24"/>
      <c r="I49" s="24"/>
      <c r="J49" s="24"/>
      <c r="K49" s="159"/>
      <c r="L49" s="361"/>
      <c r="M49" s="361"/>
      <c r="N49" s="361"/>
      <c r="O49" s="361"/>
      <c r="P49" s="361"/>
      <c r="Q49" s="163"/>
      <c r="R49" s="24"/>
      <c r="S49" s="24"/>
      <c r="T49" s="24"/>
      <c r="U49" s="24"/>
      <c r="V49" s="24"/>
      <c r="W49" s="7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R49" s="60"/>
      <c r="AS49" s="60"/>
      <c r="AT49" s="60"/>
      <c r="AU49" s="60"/>
      <c r="AV49" s="60"/>
      <c r="AW49" s="60"/>
      <c r="AX49" s="60"/>
      <c r="AY49" s="60"/>
    </row>
    <row r="50" spans="1:51" s="59" customFormat="1" ht="15" customHeight="1">
      <c r="A50" s="645"/>
      <c r="B50" s="650"/>
      <c r="C50" s="24"/>
      <c r="D50" s="24"/>
      <c r="E50" s="24"/>
      <c r="F50" s="24"/>
      <c r="G50" s="24"/>
      <c r="H50" s="24"/>
      <c r="I50" s="24"/>
      <c r="J50" s="24"/>
      <c r="K50" s="159"/>
      <c r="L50" s="361"/>
      <c r="M50" s="361"/>
      <c r="N50" s="361"/>
      <c r="O50" s="361"/>
      <c r="P50" s="361"/>
      <c r="Q50" s="163"/>
      <c r="R50" s="24"/>
      <c r="S50" s="24"/>
      <c r="T50" s="24"/>
      <c r="U50" s="24"/>
      <c r="V50" s="24"/>
      <c r="W50" s="7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R50" s="60"/>
      <c r="AS50" s="60"/>
      <c r="AT50" s="60"/>
      <c r="AU50" s="60"/>
      <c r="AV50" s="60"/>
      <c r="AW50" s="60"/>
      <c r="AX50" s="60"/>
      <c r="AY50" s="60"/>
    </row>
    <row r="51" spans="1:51" s="59" customFormat="1" ht="15" customHeight="1">
      <c r="A51" s="645"/>
      <c r="B51" s="650"/>
      <c r="C51" s="24"/>
      <c r="D51" s="24"/>
      <c r="E51" s="24"/>
      <c r="F51" s="24"/>
      <c r="G51" s="24"/>
      <c r="H51" s="24"/>
      <c r="I51" s="24"/>
      <c r="J51" s="24"/>
      <c r="K51" s="159"/>
      <c r="L51" s="361"/>
      <c r="M51" s="361"/>
      <c r="N51" s="361"/>
      <c r="O51" s="361"/>
      <c r="P51" s="361"/>
      <c r="Q51" s="163"/>
      <c r="R51" s="24"/>
      <c r="S51" s="24"/>
      <c r="T51" s="24"/>
      <c r="U51" s="24"/>
      <c r="V51" s="24"/>
      <c r="W51" s="7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R51" s="60"/>
      <c r="AS51" s="60"/>
      <c r="AT51" s="60"/>
      <c r="AU51" s="60"/>
      <c r="AV51" s="60"/>
      <c r="AW51" s="60"/>
      <c r="AX51" s="60"/>
      <c r="AY51" s="60"/>
    </row>
    <row r="52" spans="1:51" s="59" customFormat="1" ht="15" customHeight="1">
      <c r="A52" s="645"/>
      <c r="B52" s="650"/>
      <c r="C52" s="24"/>
      <c r="D52" s="24"/>
      <c r="E52" s="24"/>
      <c r="F52" s="24"/>
      <c r="G52" s="24"/>
      <c r="H52" s="24"/>
      <c r="I52" s="24"/>
      <c r="J52" s="24"/>
      <c r="K52" s="159"/>
      <c r="L52" s="361"/>
      <c r="M52" s="361"/>
      <c r="N52" s="361"/>
      <c r="O52" s="361"/>
      <c r="P52" s="361"/>
      <c r="Q52" s="163"/>
      <c r="R52" s="24"/>
      <c r="S52" s="24"/>
      <c r="T52" s="24"/>
      <c r="U52" s="24"/>
      <c r="V52" s="24"/>
      <c r="W52" s="7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R52" s="60"/>
      <c r="AS52" s="60"/>
      <c r="AT52" s="60"/>
      <c r="AU52" s="60"/>
      <c r="AV52" s="60"/>
      <c r="AW52" s="60"/>
      <c r="AX52" s="60"/>
      <c r="AY52" s="60"/>
    </row>
    <row r="53" spans="1:51" s="59" customFormat="1" ht="15" customHeight="1">
      <c r="A53" s="645"/>
      <c r="B53" s="650"/>
      <c r="C53" s="24"/>
      <c r="D53" s="24"/>
      <c r="E53" s="24"/>
      <c r="F53" s="24"/>
      <c r="G53" s="24"/>
      <c r="H53" s="24"/>
      <c r="I53" s="24"/>
      <c r="J53" s="24"/>
      <c r="K53" s="159"/>
      <c r="L53" s="361"/>
      <c r="M53" s="361"/>
      <c r="N53" s="361"/>
      <c r="O53" s="361"/>
      <c r="P53" s="361"/>
      <c r="Q53" s="163"/>
      <c r="R53" s="24"/>
      <c r="S53" s="24"/>
      <c r="T53" s="24"/>
      <c r="U53" s="24"/>
      <c r="V53" s="24"/>
      <c r="W53" s="7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R53" s="60"/>
      <c r="AS53" s="60"/>
      <c r="AT53" s="60"/>
      <c r="AU53" s="60"/>
      <c r="AV53" s="60"/>
      <c r="AW53" s="60"/>
      <c r="AX53" s="60"/>
      <c r="AY53" s="60"/>
    </row>
    <row r="54" spans="1:51" s="59" customFormat="1" ht="15" customHeight="1">
      <c r="A54" s="645"/>
      <c r="B54" s="650"/>
      <c r="C54" s="24"/>
      <c r="D54" s="24"/>
      <c r="E54" s="24"/>
      <c r="F54" s="24"/>
      <c r="G54" s="24"/>
      <c r="H54" s="24"/>
      <c r="I54" s="24"/>
      <c r="J54" s="24"/>
      <c r="K54" s="159"/>
      <c r="L54" s="361"/>
      <c r="M54" s="361"/>
      <c r="N54" s="361"/>
      <c r="O54" s="361"/>
      <c r="P54" s="361"/>
      <c r="Q54" s="163"/>
      <c r="R54" s="24"/>
      <c r="S54" s="24"/>
      <c r="T54" s="24"/>
      <c r="U54" s="24"/>
      <c r="V54" s="24"/>
      <c r="W54" s="7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R54" s="60"/>
      <c r="AS54" s="60"/>
      <c r="AT54" s="60"/>
      <c r="AU54" s="60"/>
      <c r="AV54" s="60"/>
      <c r="AW54" s="60"/>
      <c r="AX54" s="60"/>
      <c r="AY54" s="60"/>
    </row>
    <row r="55" spans="1:51" s="59" customFormat="1" ht="15" customHeight="1">
      <c r="A55" s="645"/>
      <c r="B55" s="650"/>
      <c r="C55" s="24"/>
      <c r="D55" s="24"/>
      <c r="E55" s="24"/>
      <c r="F55" s="24"/>
      <c r="G55" s="24"/>
      <c r="H55" s="24"/>
      <c r="I55" s="24"/>
      <c r="J55" s="24"/>
      <c r="K55" s="159"/>
      <c r="L55" s="361"/>
      <c r="M55" s="361"/>
      <c r="N55" s="361"/>
      <c r="O55" s="361"/>
      <c r="P55" s="361"/>
      <c r="Q55" s="163"/>
      <c r="R55" s="24"/>
      <c r="S55" s="24"/>
      <c r="T55" s="24"/>
      <c r="U55" s="24"/>
      <c r="V55" s="24"/>
      <c r="W55" s="7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R55" s="60"/>
      <c r="AS55" s="60"/>
      <c r="AT55" s="60"/>
      <c r="AU55" s="60"/>
      <c r="AV55" s="60"/>
      <c r="AW55" s="60"/>
      <c r="AX55" s="60"/>
      <c r="AY55" s="60"/>
    </row>
    <row r="56" spans="1:51" s="183" customFormat="1" ht="15" customHeight="1">
      <c r="A56" s="645"/>
      <c r="B56" s="650"/>
      <c r="C56" s="24"/>
      <c r="D56" s="24"/>
      <c r="E56" s="24"/>
      <c r="F56" s="24"/>
      <c r="G56" s="24"/>
      <c r="H56" s="24"/>
      <c r="I56" s="24"/>
      <c r="J56" s="24"/>
      <c r="K56" s="159"/>
      <c r="L56" s="361"/>
      <c r="M56" s="361"/>
      <c r="N56" s="361"/>
      <c r="O56" s="361"/>
      <c r="P56" s="361"/>
      <c r="Q56" s="163"/>
      <c r="R56" s="24"/>
      <c r="S56" s="24"/>
      <c r="T56" s="24"/>
      <c r="U56" s="24"/>
      <c r="V56" s="24"/>
      <c r="W56" s="7"/>
      <c r="Z56" s="108"/>
      <c r="AA56" s="60"/>
      <c r="AB56" s="60"/>
      <c r="AC56" s="60"/>
      <c r="AD56" s="60"/>
      <c r="AE56" s="60"/>
      <c r="AF56" s="60"/>
      <c r="AG56" s="60"/>
      <c r="AH56" s="60"/>
      <c r="AI56" s="108"/>
      <c r="AJ56" s="108"/>
      <c r="AK56" s="204"/>
      <c r="AL56" s="204"/>
      <c r="AM56" s="204"/>
      <c r="AN56" s="204"/>
      <c r="AO56" s="204"/>
      <c r="AP56" s="204"/>
      <c r="AR56" s="108"/>
      <c r="AS56" s="108"/>
      <c r="AT56" s="108"/>
      <c r="AU56" s="108"/>
      <c r="AV56" s="108"/>
      <c r="AW56" s="108"/>
      <c r="AX56" s="108"/>
      <c r="AY56" s="108"/>
    </row>
    <row r="57" spans="1:51" s="59" customFormat="1" ht="15" customHeight="1">
      <c r="A57" s="645"/>
      <c r="B57" s="650"/>
      <c r="C57" s="24"/>
      <c r="D57" s="24"/>
      <c r="E57" s="24"/>
      <c r="F57" s="24"/>
      <c r="G57" s="24"/>
      <c r="H57" s="24"/>
      <c r="I57" s="24"/>
      <c r="J57" s="24"/>
      <c r="K57" s="159"/>
      <c r="L57" s="361"/>
      <c r="M57" s="361"/>
      <c r="N57" s="361"/>
      <c r="O57" s="361"/>
      <c r="P57" s="361"/>
      <c r="Q57" s="163"/>
      <c r="R57" s="24"/>
      <c r="S57" s="24"/>
      <c r="T57" s="24"/>
      <c r="U57" s="24"/>
      <c r="V57" s="24"/>
      <c r="W57" s="7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R57" s="60"/>
      <c r="AS57" s="60"/>
      <c r="AT57" s="60"/>
      <c r="AU57" s="60"/>
      <c r="AV57" s="60"/>
      <c r="AW57" s="60"/>
      <c r="AX57" s="60"/>
      <c r="AY57" s="60"/>
    </row>
    <row r="58" spans="1:51" s="59" customFormat="1" ht="15" customHeight="1">
      <c r="A58" s="645"/>
      <c r="B58" s="650"/>
      <c r="C58" s="24"/>
      <c r="D58" s="24"/>
      <c r="E58" s="24"/>
      <c r="F58" s="24"/>
      <c r="G58" s="24"/>
      <c r="H58" s="24"/>
      <c r="I58" s="24"/>
      <c r="J58" s="24"/>
      <c r="K58" s="159"/>
      <c r="L58" s="361"/>
      <c r="M58" s="361"/>
      <c r="N58" s="361"/>
      <c r="O58" s="361"/>
      <c r="P58" s="361"/>
      <c r="Q58" s="163"/>
      <c r="R58" s="24"/>
      <c r="S58" s="24"/>
      <c r="T58" s="24"/>
      <c r="U58" s="24"/>
      <c r="V58" s="24"/>
      <c r="W58" s="7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R58" s="60"/>
      <c r="AS58" s="60"/>
      <c r="AT58" s="60"/>
      <c r="AU58" s="60"/>
      <c r="AV58" s="60"/>
      <c r="AW58" s="60"/>
      <c r="AX58" s="60"/>
      <c r="AY58" s="60"/>
    </row>
    <row r="59" spans="1:51" s="59" customFormat="1" ht="15" customHeight="1">
      <c r="A59" s="645"/>
      <c r="B59" s="650"/>
      <c r="C59" s="24"/>
      <c r="D59" s="24"/>
      <c r="E59" s="24"/>
      <c r="F59" s="24"/>
      <c r="G59" s="24"/>
      <c r="H59" s="24"/>
      <c r="I59" s="24"/>
      <c r="J59" s="24"/>
      <c r="K59" s="159"/>
      <c r="L59" s="361"/>
      <c r="M59" s="361"/>
      <c r="N59" s="361"/>
      <c r="O59" s="361"/>
      <c r="P59" s="361"/>
      <c r="Q59" s="163"/>
      <c r="R59" s="24"/>
      <c r="S59" s="24"/>
      <c r="T59" s="24"/>
      <c r="U59" s="24"/>
      <c r="V59" s="24"/>
      <c r="W59" s="7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R59" s="60"/>
      <c r="AS59" s="60"/>
      <c r="AT59" s="60"/>
      <c r="AU59" s="60"/>
      <c r="AV59" s="60"/>
      <c r="AW59" s="60"/>
      <c r="AX59" s="60"/>
      <c r="AY59" s="60"/>
    </row>
    <row r="60" spans="1:51" s="59" customFormat="1" ht="15" customHeight="1">
      <c r="A60" s="645"/>
      <c r="B60" s="650"/>
      <c r="C60" s="24"/>
      <c r="D60" s="24"/>
      <c r="E60" s="24"/>
      <c r="F60" s="24"/>
      <c r="G60" s="24"/>
      <c r="H60" s="24"/>
      <c r="I60" s="24"/>
      <c r="J60" s="24"/>
      <c r="K60" s="159"/>
      <c r="L60" s="361"/>
      <c r="M60" s="361"/>
      <c r="N60" s="361"/>
      <c r="O60" s="361"/>
      <c r="P60" s="361"/>
      <c r="Q60" s="163"/>
      <c r="R60" s="24"/>
      <c r="S60" s="24"/>
      <c r="T60" s="24"/>
      <c r="U60" s="24"/>
      <c r="V60" s="24"/>
      <c r="W60" s="7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R60" s="60"/>
      <c r="AS60" s="60"/>
      <c r="AT60" s="60"/>
      <c r="AU60" s="60"/>
      <c r="AV60" s="60"/>
      <c r="AW60" s="60"/>
      <c r="AX60" s="60"/>
      <c r="AY60" s="60"/>
    </row>
    <row r="61" spans="1:51" s="59" customFormat="1" ht="15" customHeight="1">
      <c r="A61" s="645"/>
      <c r="B61" s="650"/>
      <c r="C61" s="24"/>
      <c r="D61" s="24"/>
      <c r="E61" s="24"/>
      <c r="F61" s="24"/>
      <c r="G61" s="24"/>
      <c r="H61" s="24"/>
      <c r="I61" s="24"/>
      <c r="J61" s="24"/>
      <c r="K61" s="159"/>
      <c r="L61" s="361"/>
      <c r="M61" s="361"/>
      <c r="N61" s="361"/>
      <c r="O61" s="361"/>
      <c r="P61" s="361"/>
      <c r="Q61" s="163"/>
      <c r="R61" s="24"/>
      <c r="S61" s="24"/>
      <c r="T61" s="24"/>
      <c r="U61" s="24"/>
      <c r="V61" s="24"/>
      <c r="W61" s="7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R61" s="60"/>
      <c r="AS61" s="60"/>
      <c r="AT61" s="60"/>
      <c r="AU61" s="60"/>
      <c r="AV61" s="60"/>
      <c r="AW61" s="60"/>
      <c r="AX61" s="60"/>
      <c r="AY61" s="60"/>
    </row>
    <row r="62" spans="1:51" s="59" customFormat="1" ht="15" customHeight="1">
      <c r="A62" s="645"/>
      <c r="B62" s="650"/>
      <c r="C62" s="24"/>
      <c r="D62" s="24"/>
      <c r="E62" s="24"/>
      <c r="F62" s="24"/>
      <c r="G62" s="24"/>
      <c r="H62" s="24"/>
      <c r="I62" s="24"/>
      <c r="J62" s="24"/>
      <c r="K62" s="159"/>
      <c r="L62" s="361"/>
      <c r="M62" s="361"/>
      <c r="N62" s="361"/>
      <c r="O62" s="361"/>
      <c r="P62" s="361"/>
      <c r="Q62" s="163"/>
      <c r="R62" s="24"/>
      <c r="S62" s="24"/>
      <c r="T62" s="24"/>
      <c r="U62" s="24"/>
      <c r="V62" s="24"/>
      <c r="W62" s="7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R62" s="60"/>
      <c r="AS62" s="60"/>
      <c r="AT62" s="60"/>
      <c r="AU62" s="60"/>
      <c r="AV62" s="60"/>
      <c r="AW62" s="60"/>
      <c r="AX62" s="60"/>
      <c r="AY62" s="60"/>
    </row>
    <row r="63" spans="1:51" s="59" customFormat="1" ht="15" customHeight="1">
      <c r="A63" s="645"/>
      <c r="B63" s="650"/>
      <c r="C63" s="24"/>
      <c r="D63" s="24"/>
      <c r="E63" s="24"/>
      <c r="F63" s="24"/>
      <c r="G63" s="24"/>
      <c r="H63" s="24"/>
      <c r="I63" s="24"/>
      <c r="J63" s="24"/>
      <c r="K63" s="159"/>
      <c r="L63" s="361"/>
      <c r="M63" s="361"/>
      <c r="N63" s="361"/>
      <c r="O63" s="361"/>
      <c r="P63" s="361"/>
      <c r="Q63" s="163"/>
      <c r="R63" s="24"/>
      <c r="S63" s="24"/>
      <c r="T63" s="24"/>
      <c r="U63" s="24"/>
      <c r="V63" s="24"/>
      <c r="W63" s="7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R63" s="60"/>
      <c r="AS63" s="60"/>
      <c r="AT63" s="60"/>
      <c r="AU63" s="60"/>
      <c r="AV63" s="60"/>
      <c r="AW63" s="60"/>
      <c r="AX63" s="60"/>
      <c r="AY63" s="60"/>
    </row>
    <row r="64" spans="1:51" s="59" customFormat="1" ht="15" customHeight="1">
      <c r="A64" s="645"/>
      <c r="B64" s="650"/>
      <c r="C64" s="24"/>
      <c r="D64" s="24"/>
      <c r="E64" s="24"/>
      <c r="F64" s="24"/>
      <c r="G64" s="24"/>
      <c r="H64" s="24"/>
      <c r="I64" s="24"/>
      <c r="J64" s="24"/>
      <c r="K64" s="159"/>
      <c r="L64" s="361"/>
      <c r="M64" s="361"/>
      <c r="N64" s="361"/>
      <c r="O64" s="361"/>
      <c r="P64" s="361"/>
      <c r="Q64" s="163"/>
      <c r="R64" s="24"/>
      <c r="S64" s="24"/>
      <c r="T64" s="24"/>
      <c r="U64" s="24"/>
      <c r="V64" s="24"/>
      <c r="W64" s="7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R64" s="60"/>
      <c r="AS64" s="60"/>
      <c r="AT64" s="60"/>
      <c r="AU64" s="60"/>
      <c r="AV64" s="60"/>
      <c r="AW64" s="60"/>
      <c r="AX64" s="60"/>
      <c r="AY64" s="60"/>
    </row>
    <row r="65" spans="1:51" s="59" customFormat="1" ht="15" customHeight="1">
      <c r="A65" s="645"/>
      <c r="B65" s="650"/>
      <c r="C65" s="24"/>
      <c r="D65" s="24"/>
      <c r="E65" s="24"/>
      <c r="F65" s="24"/>
      <c r="G65" s="24"/>
      <c r="H65" s="24"/>
      <c r="I65" s="24"/>
      <c r="J65" s="24"/>
      <c r="K65" s="159"/>
      <c r="L65" s="361"/>
      <c r="M65" s="361"/>
      <c r="N65" s="361"/>
      <c r="O65" s="361"/>
      <c r="P65" s="361"/>
      <c r="Q65" s="163"/>
      <c r="R65" s="24"/>
      <c r="S65" s="24"/>
      <c r="T65" s="24"/>
      <c r="U65" s="24"/>
      <c r="V65" s="24"/>
      <c r="W65" s="7"/>
      <c r="Z65" s="60"/>
      <c r="AA65" s="60"/>
      <c r="AB65" s="60"/>
      <c r="AC65" s="60"/>
      <c r="AD65" s="60"/>
      <c r="AE65" s="60"/>
      <c r="AF65" s="60"/>
      <c r="AG65" s="60"/>
      <c r="AH65" s="60"/>
      <c r="AI65" s="60"/>
      <c r="AJ65" s="60"/>
      <c r="AR65" s="60"/>
      <c r="AS65" s="60"/>
      <c r="AT65" s="60"/>
      <c r="AU65" s="60"/>
      <c r="AV65" s="60"/>
      <c r="AW65" s="60"/>
      <c r="AX65" s="60"/>
      <c r="AY65" s="60"/>
    </row>
    <row r="66" spans="1:51" s="59" customFormat="1" ht="15" customHeight="1">
      <c r="A66" s="645"/>
      <c r="B66" s="650"/>
      <c r="C66" s="24"/>
      <c r="D66" s="24"/>
      <c r="E66" s="24"/>
      <c r="F66" s="24"/>
      <c r="G66" s="24"/>
      <c r="H66" s="24"/>
      <c r="I66" s="24"/>
      <c r="J66" s="24"/>
      <c r="K66" s="159"/>
      <c r="L66" s="361"/>
      <c r="M66" s="361"/>
      <c r="N66" s="361"/>
      <c r="O66" s="361"/>
      <c r="P66" s="361"/>
      <c r="Q66" s="163"/>
      <c r="R66" s="24"/>
      <c r="S66" s="24"/>
      <c r="T66" s="24"/>
      <c r="U66" s="24"/>
      <c r="V66" s="24"/>
      <c r="W66" s="7"/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0"/>
      <c r="AR66" s="60"/>
      <c r="AS66" s="60"/>
      <c r="AT66" s="60"/>
      <c r="AU66" s="60"/>
      <c r="AV66" s="60"/>
      <c r="AW66" s="60"/>
      <c r="AX66" s="60"/>
      <c r="AY66" s="60"/>
    </row>
    <row r="67" spans="1:51" s="59" customFormat="1" ht="15" customHeight="1">
      <c r="A67" s="645"/>
      <c r="B67" s="650"/>
      <c r="C67" s="24"/>
      <c r="D67" s="24"/>
      <c r="E67" s="24"/>
      <c r="F67" s="24"/>
      <c r="G67" s="24"/>
      <c r="H67" s="24"/>
      <c r="I67" s="24"/>
      <c r="J67" s="24"/>
      <c r="K67" s="159"/>
      <c r="L67" s="361"/>
      <c r="M67" s="361"/>
      <c r="N67" s="361"/>
      <c r="O67" s="361"/>
      <c r="P67" s="361"/>
      <c r="Q67" s="163"/>
      <c r="R67" s="24"/>
      <c r="S67" s="24"/>
      <c r="T67" s="24"/>
      <c r="U67" s="24"/>
      <c r="V67" s="24"/>
      <c r="W67" s="7"/>
      <c r="Z67" s="60"/>
      <c r="AA67" s="60"/>
      <c r="AB67" s="60"/>
      <c r="AC67" s="60"/>
      <c r="AD67" s="60"/>
      <c r="AE67" s="60"/>
      <c r="AF67" s="60"/>
      <c r="AG67" s="60"/>
      <c r="AH67" s="60"/>
      <c r="AI67" s="60"/>
      <c r="AJ67" s="60"/>
      <c r="AR67" s="60"/>
      <c r="AS67" s="60"/>
      <c r="AT67" s="60"/>
      <c r="AU67" s="60"/>
      <c r="AV67" s="60"/>
      <c r="AW67" s="60"/>
      <c r="AX67" s="60"/>
      <c r="AY67" s="60"/>
    </row>
    <row r="68" spans="1:51" s="59" customFormat="1" ht="15" customHeight="1">
      <c r="A68" s="645"/>
      <c r="B68" s="650"/>
      <c r="C68" s="24"/>
      <c r="D68" s="24"/>
      <c r="E68" s="24"/>
      <c r="F68" s="24"/>
      <c r="G68" s="24"/>
      <c r="H68" s="24"/>
      <c r="I68" s="24"/>
      <c r="J68" s="24"/>
      <c r="K68" s="159"/>
      <c r="L68" s="361"/>
      <c r="M68" s="361"/>
      <c r="N68" s="361"/>
      <c r="O68" s="361"/>
      <c r="P68" s="361"/>
      <c r="Q68" s="163"/>
      <c r="R68" s="24"/>
      <c r="S68" s="24"/>
      <c r="T68" s="24"/>
      <c r="U68" s="24"/>
      <c r="V68" s="24"/>
      <c r="W68" s="7"/>
      <c r="Z68" s="60"/>
      <c r="AA68" s="60"/>
      <c r="AB68" s="60"/>
      <c r="AC68" s="60"/>
      <c r="AD68" s="60"/>
      <c r="AE68" s="60"/>
      <c r="AF68" s="60"/>
      <c r="AG68" s="60"/>
      <c r="AH68" s="60"/>
      <c r="AI68" s="60"/>
      <c r="AJ68" s="60"/>
      <c r="AR68" s="60"/>
      <c r="AS68" s="60"/>
      <c r="AT68" s="60"/>
      <c r="AU68" s="60"/>
      <c r="AV68" s="60"/>
      <c r="AW68" s="60"/>
      <c r="AX68" s="60"/>
      <c r="AY68" s="60"/>
    </row>
    <row r="69" spans="1:51" s="59" customFormat="1" ht="15" customHeight="1">
      <c r="B69" s="184"/>
      <c r="D69" s="186"/>
      <c r="E69" s="197"/>
      <c r="F69" s="205"/>
      <c r="G69" s="198"/>
      <c r="H69" s="199"/>
      <c r="I69" s="199"/>
      <c r="J69" s="187"/>
      <c r="K69" s="200"/>
      <c r="L69" s="363"/>
      <c r="M69" s="364"/>
      <c r="N69" s="364"/>
      <c r="O69" s="725"/>
      <c r="P69" s="725"/>
      <c r="Q69" s="725"/>
      <c r="R69" s="201"/>
      <c r="S69" s="187"/>
      <c r="T69" s="187"/>
      <c r="U69" s="200"/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  <c r="AR69" s="60"/>
      <c r="AS69" s="60"/>
      <c r="AT69" s="60"/>
      <c r="AU69" s="60"/>
      <c r="AV69" s="60"/>
      <c r="AW69" s="60"/>
      <c r="AX69" s="60"/>
      <c r="AY69" s="60"/>
    </row>
    <row r="70" spans="1:51" s="59" customFormat="1" ht="15" customHeight="1">
      <c r="B70" s="184"/>
      <c r="D70" s="186"/>
      <c r="E70" s="197"/>
      <c r="F70" s="205"/>
      <c r="G70" s="198"/>
      <c r="H70" s="199"/>
      <c r="I70" s="199"/>
      <c r="J70" s="187"/>
      <c r="K70" s="200"/>
      <c r="L70" s="363"/>
      <c r="M70" s="364"/>
      <c r="N70" s="364"/>
      <c r="O70" s="725"/>
      <c r="P70" s="725"/>
      <c r="Q70" s="725"/>
      <c r="R70" s="201"/>
      <c r="S70" s="187"/>
      <c r="T70" s="187"/>
      <c r="U70" s="200"/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R70" s="60"/>
      <c r="AS70" s="60"/>
      <c r="AT70" s="60"/>
      <c r="AU70" s="60"/>
      <c r="AV70" s="60"/>
      <c r="AW70" s="60"/>
      <c r="AX70" s="60"/>
      <c r="AY70" s="60"/>
    </row>
    <row r="71" spans="1:51" s="59" customFormat="1" ht="15" customHeight="1">
      <c r="B71" s="184"/>
      <c r="D71" s="186"/>
      <c r="E71" s="197"/>
      <c r="F71" s="206"/>
      <c r="G71" s="198"/>
      <c r="H71" s="199"/>
      <c r="I71" s="199"/>
      <c r="J71" s="187"/>
      <c r="K71" s="200"/>
      <c r="L71" s="363"/>
      <c r="M71" s="364"/>
      <c r="N71" s="364"/>
      <c r="O71" s="725"/>
      <c r="P71" s="725"/>
      <c r="Q71" s="725"/>
      <c r="R71" s="201"/>
      <c r="S71" s="187"/>
      <c r="T71" s="187"/>
      <c r="U71" s="20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R71" s="60"/>
      <c r="AS71" s="60"/>
      <c r="AT71" s="60"/>
      <c r="AU71" s="60"/>
      <c r="AV71" s="60"/>
      <c r="AW71" s="60"/>
      <c r="AX71" s="60"/>
      <c r="AY71" s="60"/>
    </row>
    <row r="72" spans="1:51" s="59" customFormat="1" ht="15" customHeight="1">
      <c r="B72" s="184"/>
      <c r="D72" s="186"/>
      <c r="E72" s="197"/>
      <c r="F72" s="206"/>
      <c r="G72" s="198"/>
      <c r="H72" s="199"/>
      <c r="I72" s="199"/>
      <c r="J72" s="187"/>
      <c r="K72" s="200"/>
      <c r="L72" s="363"/>
      <c r="M72" s="364"/>
      <c r="N72" s="364"/>
      <c r="O72" s="725"/>
      <c r="P72" s="725"/>
      <c r="Q72" s="725"/>
      <c r="R72" s="201"/>
      <c r="S72" s="187"/>
      <c r="T72" s="187"/>
      <c r="U72" s="200"/>
      <c r="Z72" s="60"/>
      <c r="AA72" s="60"/>
      <c r="AB72" s="60"/>
      <c r="AC72" s="60"/>
      <c r="AD72" s="60"/>
      <c r="AE72" s="60"/>
      <c r="AF72" s="60"/>
      <c r="AG72" s="60"/>
      <c r="AH72" s="60"/>
      <c r="AI72" s="60"/>
      <c r="AJ72" s="60"/>
      <c r="AR72" s="60"/>
      <c r="AS72" s="60"/>
      <c r="AT72" s="60"/>
      <c r="AU72" s="60"/>
      <c r="AV72" s="60"/>
      <c r="AW72" s="60"/>
      <c r="AX72" s="60"/>
      <c r="AY72" s="60"/>
    </row>
    <row r="73" spans="1:51" s="59" customFormat="1" ht="15" customHeight="1">
      <c r="B73" s="184"/>
      <c r="D73" s="186"/>
      <c r="E73" s="197"/>
      <c r="F73" s="206"/>
      <c r="G73" s="198"/>
      <c r="H73" s="199"/>
      <c r="I73" s="199"/>
      <c r="J73" s="187"/>
      <c r="K73" s="200"/>
      <c r="L73" s="363"/>
      <c r="M73" s="364"/>
      <c r="N73" s="364"/>
      <c r="O73" s="725"/>
      <c r="P73" s="725"/>
      <c r="Q73" s="725"/>
      <c r="R73" s="201"/>
      <c r="S73" s="187"/>
      <c r="T73" s="187"/>
      <c r="U73" s="200"/>
      <c r="Z73" s="60"/>
      <c r="AA73" s="60"/>
      <c r="AB73" s="60"/>
      <c r="AC73" s="60"/>
      <c r="AD73" s="60"/>
      <c r="AE73" s="60"/>
      <c r="AF73" s="60"/>
      <c r="AG73" s="60"/>
      <c r="AH73" s="60"/>
      <c r="AI73" s="60"/>
      <c r="AJ73" s="60"/>
      <c r="AR73" s="60"/>
      <c r="AS73" s="60"/>
      <c r="AT73" s="60"/>
      <c r="AU73" s="60"/>
      <c r="AV73" s="60"/>
      <c r="AW73" s="60"/>
      <c r="AX73" s="60"/>
      <c r="AY73" s="60"/>
    </row>
    <row r="74" spans="1:51" s="59" customFormat="1" ht="15" customHeight="1">
      <c r="B74" s="184"/>
      <c r="D74" s="186"/>
      <c r="E74" s="197"/>
      <c r="F74" s="206"/>
      <c r="G74" s="198"/>
      <c r="H74" s="199"/>
      <c r="I74" s="199"/>
      <c r="J74" s="187"/>
      <c r="K74" s="200"/>
      <c r="L74" s="363"/>
      <c r="M74" s="364"/>
      <c r="N74" s="364"/>
      <c r="O74" s="725"/>
      <c r="P74" s="725"/>
      <c r="Q74" s="725"/>
      <c r="R74" s="201"/>
      <c r="S74" s="187"/>
      <c r="T74" s="187"/>
      <c r="U74" s="200"/>
      <c r="Z74" s="60"/>
      <c r="AA74" s="60"/>
      <c r="AB74" s="60"/>
      <c r="AC74" s="60"/>
      <c r="AD74" s="60"/>
      <c r="AE74" s="60"/>
      <c r="AF74" s="60"/>
      <c r="AG74" s="60"/>
      <c r="AH74" s="60"/>
      <c r="AI74" s="60"/>
      <c r="AJ74" s="60"/>
      <c r="AR74" s="60"/>
      <c r="AS74" s="60"/>
      <c r="AT74" s="60"/>
      <c r="AU74" s="60"/>
      <c r="AV74" s="60"/>
      <c r="AW74" s="60"/>
      <c r="AX74" s="60"/>
      <c r="AY74" s="60"/>
    </row>
    <row r="75" spans="1:51" s="59" customFormat="1" ht="15" customHeight="1">
      <c r="B75" s="184"/>
      <c r="D75" s="186"/>
      <c r="E75" s="197"/>
      <c r="F75" s="206"/>
      <c r="G75" s="198"/>
      <c r="H75" s="199"/>
      <c r="I75" s="199"/>
      <c r="J75" s="187"/>
      <c r="K75" s="200"/>
      <c r="L75" s="363"/>
      <c r="M75" s="364"/>
      <c r="N75" s="364"/>
      <c r="O75" s="725"/>
      <c r="P75" s="725"/>
      <c r="Q75" s="725"/>
      <c r="R75" s="201"/>
      <c r="S75" s="187"/>
      <c r="T75" s="187"/>
      <c r="U75" s="200"/>
      <c r="Z75" s="60"/>
      <c r="AA75" s="60"/>
      <c r="AB75" s="60"/>
      <c r="AC75" s="60"/>
      <c r="AD75" s="60"/>
      <c r="AE75" s="60"/>
      <c r="AF75" s="60"/>
      <c r="AG75" s="60"/>
      <c r="AH75" s="60"/>
      <c r="AI75" s="60"/>
      <c r="AJ75" s="60"/>
      <c r="AR75" s="60"/>
      <c r="AS75" s="60"/>
      <c r="AT75" s="60"/>
      <c r="AU75" s="60"/>
      <c r="AV75" s="60"/>
      <c r="AW75" s="60"/>
      <c r="AX75" s="60"/>
      <c r="AY75" s="60"/>
    </row>
    <row r="76" spans="1:51" s="59" customFormat="1" ht="15" customHeight="1">
      <c r="B76" s="203"/>
      <c r="D76" s="186"/>
      <c r="E76" s="197"/>
      <c r="F76" s="206"/>
      <c r="G76" s="198"/>
      <c r="H76" s="199"/>
      <c r="I76" s="199"/>
      <c r="J76" s="187"/>
      <c r="K76" s="200"/>
      <c r="L76" s="363"/>
      <c r="M76" s="364"/>
      <c r="N76" s="364"/>
      <c r="O76" s="725"/>
      <c r="P76" s="725"/>
      <c r="Q76" s="725"/>
      <c r="R76" s="201"/>
      <c r="S76" s="187"/>
      <c r="T76" s="187"/>
      <c r="U76" s="200"/>
      <c r="Z76" s="60"/>
      <c r="AA76" s="60"/>
      <c r="AB76" s="60"/>
      <c r="AC76" s="60"/>
      <c r="AD76" s="60"/>
      <c r="AE76" s="60"/>
      <c r="AF76" s="60"/>
      <c r="AG76" s="60"/>
      <c r="AH76" s="60"/>
      <c r="AI76" s="60"/>
      <c r="AJ76" s="60"/>
      <c r="AR76" s="60"/>
      <c r="AS76" s="60"/>
      <c r="AT76" s="60"/>
      <c r="AU76" s="60"/>
      <c r="AV76" s="60"/>
      <c r="AW76" s="60"/>
      <c r="AX76" s="60"/>
      <c r="AY76" s="60"/>
    </row>
    <row r="77" spans="1:51" s="59" customFormat="1" ht="15" customHeight="1">
      <c r="B77" s="203"/>
      <c r="D77" s="186"/>
      <c r="E77" s="197"/>
      <c r="F77" s="206"/>
      <c r="G77" s="198"/>
      <c r="H77" s="199"/>
      <c r="I77" s="199"/>
      <c r="J77" s="187"/>
      <c r="K77" s="200"/>
      <c r="L77" s="363"/>
      <c r="M77" s="364"/>
      <c r="N77" s="364"/>
      <c r="O77" s="725"/>
      <c r="P77" s="725"/>
      <c r="Q77" s="725"/>
      <c r="R77" s="201"/>
      <c r="S77" s="187"/>
      <c r="T77" s="187"/>
      <c r="U77" s="20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R77" s="60"/>
      <c r="AS77" s="60"/>
      <c r="AT77" s="60"/>
      <c r="AU77" s="60"/>
      <c r="AV77" s="60"/>
      <c r="AW77" s="60"/>
      <c r="AX77" s="60"/>
      <c r="AY77" s="60"/>
    </row>
    <row r="78" spans="1:51" s="59" customFormat="1" ht="15" customHeight="1">
      <c r="B78" s="203"/>
      <c r="D78" s="186"/>
      <c r="E78" s="197"/>
      <c r="F78" s="206"/>
      <c r="G78" s="198"/>
      <c r="H78" s="199"/>
      <c r="I78" s="199"/>
      <c r="J78" s="187"/>
      <c r="K78" s="200"/>
      <c r="L78" s="363"/>
      <c r="M78" s="364"/>
      <c r="N78" s="364"/>
      <c r="O78" s="725"/>
      <c r="P78" s="725"/>
      <c r="Q78" s="725"/>
      <c r="R78" s="201"/>
      <c r="S78" s="187"/>
      <c r="T78" s="187"/>
      <c r="U78" s="200"/>
      <c r="Z78" s="60"/>
      <c r="AA78" s="60"/>
      <c r="AB78" s="60"/>
      <c r="AC78" s="60"/>
      <c r="AD78" s="60"/>
      <c r="AE78" s="60"/>
      <c r="AF78" s="60"/>
      <c r="AG78" s="60"/>
      <c r="AH78" s="60"/>
      <c r="AI78" s="60"/>
      <c r="AJ78" s="60"/>
      <c r="AR78" s="60"/>
      <c r="AS78" s="60"/>
      <c r="AT78" s="60"/>
      <c r="AU78" s="60"/>
      <c r="AV78" s="60"/>
      <c r="AW78" s="60"/>
      <c r="AX78" s="60"/>
      <c r="AY78" s="60"/>
    </row>
    <row r="79" spans="1:51" s="59" customFormat="1" ht="15" customHeight="1">
      <c r="B79" s="203"/>
      <c r="D79" s="186"/>
      <c r="E79" s="197"/>
      <c r="F79" s="206"/>
      <c r="G79" s="198"/>
      <c r="H79" s="199"/>
      <c r="I79" s="199"/>
      <c r="J79" s="187"/>
      <c r="K79" s="200"/>
      <c r="L79" s="363"/>
      <c r="M79" s="364"/>
      <c r="N79" s="364"/>
      <c r="O79" s="725"/>
      <c r="P79" s="725"/>
      <c r="Q79" s="725"/>
      <c r="R79" s="201"/>
      <c r="S79" s="187"/>
      <c r="T79" s="187"/>
      <c r="U79" s="200"/>
      <c r="Z79" s="60"/>
      <c r="AA79" s="60"/>
      <c r="AB79" s="60"/>
      <c r="AC79" s="60"/>
      <c r="AD79" s="60"/>
      <c r="AE79" s="60"/>
      <c r="AF79" s="60"/>
      <c r="AG79" s="60"/>
      <c r="AH79" s="60"/>
      <c r="AI79" s="60"/>
      <c r="AJ79" s="60"/>
      <c r="AR79" s="60"/>
      <c r="AS79" s="60"/>
      <c r="AT79" s="60"/>
      <c r="AU79" s="60"/>
      <c r="AV79" s="60"/>
      <c r="AW79" s="60"/>
      <c r="AX79" s="60"/>
      <c r="AY79" s="60"/>
    </row>
    <row r="80" spans="1:51" s="59" customFormat="1" ht="15" customHeight="1">
      <c r="B80" s="203"/>
      <c r="D80" s="186"/>
      <c r="E80" s="197"/>
      <c r="F80" s="206"/>
      <c r="G80" s="198"/>
      <c r="H80" s="199"/>
      <c r="I80" s="199"/>
      <c r="J80" s="187"/>
      <c r="K80" s="200"/>
      <c r="L80" s="363"/>
      <c r="M80" s="364"/>
      <c r="N80" s="364"/>
      <c r="O80" s="725"/>
      <c r="P80" s="725"/>
      <c r="Q80" s="725"/>
      <c r="R80" s="201"/>
      <c r="S80" s="187"/>
      <c r="T80" s="187"/>
      <c r="U80" s="200"/>
      <c r="Z80" s="60"/>
      <c r="AA80" s="60"/>
      <c r="AB80" s="60"/>
      <c r="AC80" s="60"/>
      <c r="AD80" s="60"/>
      <c r="AE80" s="60"/>
      <c r="AF80" s="60"/>
      <c r="AG80" s="60"/>
      <c r="AH80" s="60"/>
      <c r="AI80" s="60"/>
      <c r="AJ80" s="60"/>
      <c r="AR80" s="60"/>
      <c r="AS80" s="60"/>
      <c r="AT80" s="60"/>
      <c r="AU80" s="60"/>
      <c r="AV80" s="60"/>
      <c r="AW80" s="60"/>
      <c r="AX80" s="60"/>
      <c r="AY80" s="60"/>
    </row>
    <row r="81" spans="2:51" s="59" customFormat="1" ht="15" customHeight="1">
      <c r="B81" s="203"/>
      <c r="D81" s="186"/>
      <c r="E81" s="197"/>
      <c r="F81" s="206"/>
      <c r="G81" s="198"/>
      <c r="H81" s="199"/>
      <c r="I81" s="199"/>
      <c r="J81" s="187"/>
      <c r="K81" s="200"/>
      <c r="L81" s="363"/>
      <c r="M81" s="364"/>
      <c r="N81" s="364"/>
      <c r="O81" s="725"/>
      <c r="P81" s="725"/>
      <c r="Q81" s="725"/>
      <c r="R81" s="201"/>
      <c r="S81" s="187"/>
      <c r="T81" s="187"/>
      <c r="U81" s="200"/>
      <c r="Z81" s="60"/>
      <c r="AA81" s="60"/>
      <c r="AB81" s="60"/>
      <c r="AC81" s="60"/>
      <c r="AD81" s="60"/>
      <c r="AE81" s="60"/>
      <c r="AF81" s="60"/>
      <c r="AG81" s="60"/>
      <c r="AH81" s="60"/>
      <c r="AI81" s="60"/>
      <c r="AJ81" s="60"/>
      <c r="AR81" s="60"/>
      <c r="AS81" s="60"/>
      <c r="AT81" s="60"/>
      <c r="AU81" s="60"/>
      <c r="AV81" s="60"/>
      <c r="AW81" s="60"/>
      <c r="AX81" s="60"/>
      <c r="AY81" s="60"/>
    </row>
    <row r="82" spans="2:51" s="59" customFormat="1" ht="15" customHeight="1">
      <c r="B82" s="203"/>
      <c r="D82" s="186"/>
      <c r="E82" s="197"/>
      <c r="F82" s="206"/>
      <c r="G82" s="198"/>
      <c r="H82" s="199"/>
      <c r="I82" s="199"/>
      <c r="J82" s="187"/>
      <c r="K82" s="200"/>
      <c r="L82" s="363"/>
      <c r="M82" s="364"/>
      <c r="N82" s="364"/>
      <c r="O82" s="725"/>
      <c r="P82" s="725"/>
      <c r="Q82" s="725"/>
      <c r="R82" s="201"/>
      <c r="S82" s="187"/>
      <c r="T82" s="187"/>
      <c r="U82" s="200"/>
      <c r="Z82" s="60"/>
      <c r="AA82" s="60"/>
      <c r="AB82" s="60"/>
      <c r="AC82" s="60"/>
      <c r="AD82" s="60"/>
      <c r="AE82" s="60"/>
      <c r="AF82" s="60"/>
      <c r="AG82" s="60"/>
      <c r="AH82" s="60"/>
      <c r="AI82" s="60"/>
      <c r="AJ82" s="60"/>
      <c r="AR82" s="60"/>
      <c r="AS82" s="60"/>
      <c r="AT82" s="60"/>
      <c r="AU82" s="60"/>
      <c r="AV82" s="60"/>
      <c r="AW82" s="60"/>
      <c r="AX82" s="60"/>
      <c r="AY82" s="60"/>
    </row>
    <row r="83" spans="2:51" s="59" customFormat="1" ht="15" customHeight="1">
      <c r="B83" s="203"/>
      <c r="D83" s="186"/>
      <c r="E83" s="197"/>
      <c r="F83" s="206"/>
      <c r="G83" s="198"/>
      <c r="H83" s="199"/>
      <c r="I83" s="199"/>
      <c r="J83" s="187"/>
      <c r="K83" s="200"/>
      <c r="L83" s="363"/>
      <c r="M83" s="364"/>
      <c r="N83" s="364"/>
      <c r="O83" s="725"/>
      <c r="P83" s="725"/>
      <c r="Q83" s="725"/>
      <c r="R83" s="201"/>
      <c r="S83" s="187"/>
      <c r="T83" s="187"/>
      <c r="U83" s="200"/>
      <c r="Z83" s="60"/>
      <c r="AA83" s="60"/>
      <c r="AB83" s="60"/>
      <c r="AC83" s="60"/>
      <c r="AD83" s="60"/>
      <c r="AE83" s="60"/>
      <c r="AF83" s="60"/>
      <c r="AG83" s="60"/>
      <c r="AH83" s="60"/>
      <c r="AI83" s="60"/>
      <c r="AJ83" s="60"/>
      <c r="AR83" s="60"/>
      <c r="AS83" s="60"/>
      <c r="AT83" s="60"/>
      <c r="AU83" s="60"/>
      <c r="AV83" s="60"/>
      <c r="AW83" s="60"/>
      <c r="AX83" s="60"/>
      <c r="AY83" s="60"/>
    </row>
    <row r="84" spans="2:51" s="59" customFormat="1" ht="15" customHeight="1">
      <c r="B84" s="203"/>
      <c r="D84" s="186"/>
      <c r="E84" s="197"/>
      <c r="F84" s="206"/>
      <c r="G84" s="198"/>
      <c r="H84" s="199"/>
      <c r="I84" s="199"/>
      <c r="J84" s="187"/>
      <c r="K84" s="200"/>
      <c r="L84" s="363"/>
      <c r="M84" s="364"/>
      <c r="N84" s="364"/>
      <c r="O84" s="725"/>
      <c r="P84" s="725"/>
      <c r="Q84" s="725"/>
      <c r="R84" s="201"/>
      <c r="S84" s="187"/>
      <c r="T84" s="187"/>
      <c r="U84" s="20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R84" s="60"/>
      <c r="AS84" s="60"/>
      <c r="AT84" s="60"/>
      <c r="AU84" s="60"/>
      <c r="AV84" s="60"/>
      <c r="AW84" s="60"/>
      <c r="AX84" s="60"/>
      <c r="AY84" s="60"/>
    </row>
    <row r="85" spans="2:51" s="59" customFormat="1" ht="15" customHeight="1">
      <c r="B85" s="203"/>
      <c r="D85" s="186"/>
      <c r="E85" s="197"/>
      <c r="F85" s="206"/>
      <c r="G85" s="198"/>
      <c r="H85" s="199"/>
      <c r="I85" s="199"/>
      <c r="J85" s="187"/>
      <c r="K85" s="200"/>
      <c r="L85" s="363"/>
      <c r="M85" s="364"/>
      <c r="N85" s="364"/>
      <c r="O85" s="725"/>
      <c r="P85" s="725"/>
      <c r="Q85" s="725"/>
      <c r="R85" s="201"/>
      <c r="S85" s="187"/>
      <c r="T85" s="187"/>
      <c r="U85" s="200"/>
      <c r="Z85" s="60"/>
      <c r="AA85" s="60"/>
      <c r="AB85" s="60"/>
      <c r="AC85" s="60"/>
      <c r="AD85" s="60"/>
      <c r="AE85" s="60"/>
      <c r="AF85" s="60"/>
      <c r="AG85" s="60"/>
      <c r="AH85" s="60"/>
      <c r="AI85" s="60"/>
      <c r="AJ85" s="60"/>
      <c r="AR85" s="60"/>
      <c r="AS85" s="60"/>
      <c r="AT85" s="60"/>
      <c r="AU85" s="60"/>
      <c r="AV85" s="60"/>
      <c r="AW85" s="60"/>
      <c r="AX85" s="60"/>
      <c r="AY85" s="60"/>
    </row>
    <row r="86" spans="2:51" s="59" customFormat="1" ht="15" customHeight="1">
      <c r="B86" s="203"/>
      <c r="D86" s="186"/>
      <c r="E86" s="197"/>
      <c r="F86" s="206"/>
      <c r="G86" s="198"/>
      <c r="H86" s="199"/>
      <c r="I86" s="199"/>
      <c r="J86" s="187"/>
      <c r="K86" s="200"/>
      <c r="L86" s="363"/>
      <c r="M86" s="364"/>
      <c r="N86" s="364"/>
      <c r="O86" s="725"/>
      <c r="P86" s="725"/>
      <c r="Q86" s="725"/>
      <c r="R86" s="201"/>
      <c r="S86" s="187"/>
      <c r="T86" s="187"/>
      <c r="U86" s="200"/>
      <c r="Z86" s="60"/>
      <c r="AA86" s="60"/>
      <c r="AB86" s="60"/>
      <c r="AC86" s="60"/>
      <c r="AD86" s="60"/>
      <c r="AE86" s="60"/>
      <c r="AF86" s="60"/>
      <c r="AG86" s="60"/>
      <c r="AH86" s="60"/>
      <c r="AI86" s="60"/>
      <c r="AJ86" s="60"/>
      <c r="AR86" s="60"/>
      <c r="AS86" s="60"/>
      <c r="AT86" s="60"/>
      <c r="AU86" s="60"/>
      <c r="AV86" s="60"/>
      <c r="AW86" s="60"/>
      <c r="AX86" s="60"/>
      <c r="AY86" s="60"/>
    </row>
    <row r="87" spans="2:51" s="59" customFormat="1" ht="15" customHeight="1">
      <c r="B87" s="203"/>
      <c r="D87" s="186"/>
      <c r="E87" s="197"/>
      <c r="F87" s="206"/>
      <c r="G87" s="198"/>
      <c r="H87" s="199"/>
      <c r="I87" s="199"/>
      <c r="J87" s="187"/>
      <c r="K87" s="200"/>
      <c r="L87" s="363"/>
      <c r="M87" s="364"/>
      <c r="N87" s="364"/>
      <c r="O87" s="725"/>
      <c r="P87" s="725"/>
      <c r="Q87" s="725"/>
      <c r="R87" s="201"/>
      <c r="S87" s="187"/>
      <c r="T87" s="187"/>
      <c r="U87" s="200"/>
      <c r="Z87" s="60"/>
      <c r="AA87" s="60"/>
      <c r="AB87" s="60"/>
      <c r="AC87" s="60"/>
      <c r="AD87" s="60"/>
      <c r="AE87" s="60"/>
      <c r="AF87" s="60"/>
      <c r="AG87" s="60"/>
      <c r="AH87" s="60"/>
      <c r="AI87" s="60"/>
      <c r="AJ87" s="60"/>
      <c r="AR87" s="60"/>
      <c r="AS87" s="60"/>
      <c r="AT87" s="60"/>
      <c r="AU87" s="60"/>
      <c r="AV87" s="60"/>
      <c r="AW87" s="60"/>
      <c r="AX87" s="60"/>
      <c r="AY87" s="60"/>
    </row>
    <row r="88" spans="2:51" s="59" customFormat="1" ht="15" customHeight="1">
      <c r="B88" s="203"/>
      <c r="D88" s="186"/>
      <c r="E88" s="197"/>
      <c r="F88" s="206"/>
      <c r="G88" s="198"/>
      <c r="H88" s="199"/>
      <c r="I88" s="199"/>
      <c r="J88" s="187"/>
      <c r="K88" s="200"/>
      <c r="L88" s="363"/>
      <c r="M88" s="364"/>
      <c r="N88" s="364"/>
      <c r="O88" s="725"/>
      <c r="P88" s="725"/>
      <c r="Q88" s="725"/>
      <c r="R88" s="201"/>
      <c r="S88" s="187"/>
      <c r="T88" s="187"/>
      <c r="U88" s="200"/>
      <c r="Z88" s="60"/>
      <c r="AA88" s="60"/>
      <c r="AB88" s="60"/>
      <c r="AC88" s="60"/>
      <c r="AD88" s="60"/>
      <c r="AE88" s="60"/>
      <c r="AF88" s="60"/>
      <c r="AG88" s="60"/>
      <c r="AH88" s="60"/>
      <c r="AI88" s="60"/>
      <c r="AJ88" s="60"/>
      <c r="AR88" s="60"/>
      <c r="AS88" s="60"/>
      <c r="AT88" s="60"/>
      <c r="AU88" s="60"/>
      <c r="AV88" s="60"/>
      <c r="AW88" s="60"/>
      <c r="AX88" s="60"/>
      <c r="AY88" s="60"/>
    </row>
    <row r="89" spans="2:51" s="59" customFormat="1" ht="15" customHeight="1">
      <c r="B89" s="203"/>
      <c r="D89" s="186"/>
      <c r="E89" s="197"/>
      <c r="F89" s="206"/>
      <c r="G89" s="198"/>
      <c r="H89" s="199"/>
      <c r="I89" s="199"/>
      <c r="J89" s="187"/>
      <c r="K89" s="200"/>
      <c r="L89" s="363"/>
      <c r="M89" s="364"/>
      <c r="N89" s="364"/>
      <c r="O89" s="725"/>
      <c r="P89" s="725"/>
      <c r="Q89" s="725"/>
      <c r="R89" s="201"/>
      <c r="S89" s="187"/>
      <c r="T89" s="187"/>
      <c r="U89" s="200"/>
      <c r="Z89" s="60"/>
      <c r="AA89" s="60"/>
      <c r="AB89" s="60"/>
      <c r="AC89" s="60"/>
      <c r="AD89" s="60"/>
      <c r="AE89" s="60"/>
      <c r="AF89" s="60"/>
      <c r="AG89" s="60"/>
      <c r="AH89" s="60"/>
      <c r="AI89" s="60"/>
      <c r="AJ89" s="60"/>
      <c r="AR89" s="60"/>
      <c r="AS89" s="60"/>
      <c r="AT89" s="60"/>
      <c r="AU89" s="60"/>
      <c r="AV89" s="60"/>
      <c r="AW89" s="60"/>
      <c r="AX89" s="60"/>
      <c r="AY89" s="60"/>
    </row>
    <row r="90" spans="2:51" s="59" customFormat="1" ht="15" customHeight="1">
      <c r="B90" s="203"/>
      <c r="D90" s="186"/>
      <c r="E90" s="197"/>
      <c r="F90" s="206"/>
      <c r="G90" s="198"/>
      <c r="H90" s="199"/>
      <c r="I90" s="199"/>
      <c r="J90" s="187"/>
      <c r="K90" s="200"/>
      <c r="L90" s="363"/>
      <c r="M90" s="364"/>
      <c r="N90" s="364"/>
      <c r="O90" s="725"/>
      <c r="P90" s="725"/>
      <c r="Q90" s="725"/>
      <c r="R90" s="201"/>
      <c r="S90" s="187"/>
      <c r="T90" s="187"/>
      <c r="U90" s="200"/>
      <c r="Z90" s="60"/>
      <c r="AA90" s="60"/>
      <c r="AB90" s="60"/>
      <c r="AC90" s="60"/>
      <c r="AD90" s="60"/>
      <c r="AE90" s="60"/>
      <c r="AF90" s="60"/>
      <c r="AG90" s="60"/>
      <c r="AH90" s="60"/>
      <c r="AI90" s="60"/>
      <c r="AJ90" s="60"/>
      <c r="AR90" s="60"/>
      <c r="AS90" s="60"/>
      <c r="AT90" s="60"/>
      <c r="AU90" s="60"/>
      <c r="AV90" s="60"/>
      <c r="AW90" s="60"/>
      <c r="AX90" s="60"/>
      <c r="AY90" s="60"/>
    </row>
    <row r="91" spans="2:51" s="59" customFormat="1" ht="15" customHeight="1">
      <c r="B91" s="203"/>
      <c r="D91" s="186"/>
      <c r="E91" s="197"/>
      <c r="F91" s="206"/>
      <c r="G91" s="198"/>
      <c r="H91" s="199"/>
      <c r="I91" s="199"/>
      <c r="J91" s="187"/>
      <c r="K91" s="200"/>
      <c r="L91" s="363"/>
      <c r="M91" s="364"/>
      <c r="N91" s="364"/>
      <c r="O91" s="725"/>
      <c r="P91" s="725"/>
      <c r="Q91" s="725"/>
      <c r="R91" s="201"/>
      <c r="S91" s="187"/>
      <c r="T91" s="187"/>
      <c r="U91" s="200"/>
      <c r="Z91" s="60"/>
      <c r="AA91" s="60"/>
      <c r="AB91" s="60"/>
      <c r="AC91" s="60"/>
      <c r="AD91" s="60"/>
      <c r="AE91" s="60"/>
      <c r="AF91" s="60"/>
      <c r="AG91" s="60"/>
      <c r="AH91" s="60"/>
      <c r="AI91" s="60"/>
      <c r="AJ91" s="60"/>
      <c r="AR91" s="60"/>
      <c r="AS91" s="60"/>
      <c r="AT91" s="60"/>
      <c r="AU91" s="60"/>
      <c r="AV91" s="60"/>
      <c r="AW91" s="60"/>
      <c r="AX91" s="60"/>
      <c r="AY91" s="60"/>
    </row>
    <row r="92" spans="2:51" s="183" customFormat="1" ht="15" customHeight="1">
      <c r="B92" s="203"/>
      <c r="C92" s="59"/>
      <c r="D92" s="186"/>
      <c r="E92" s="197"/>
      <c r="F92" s="206"/>
      <c r="G92" s="198"/>
      <c r="H92" s="199"/>
      <c r="I92" s="199"/>
      <c r="J92" s="187"/>
      <c r="K92" s="200"/>
      <c r="L92" s="363"/>
      <c r="M92" s="364"/>
      <c r="N92" s="364"/>
      <c r="O92" s="725"/>
      <c r="P92" s="725"/>
      <c r="Q92" s="725"/>
      <c r="R92" s="201"/>
      <c r="S92" s="187"/>
      <c r="T92" s="187"/>
      <c r="U92" s="200"/>
      <c r="V92" s="59"/>
      <c r="Z92" s="108"/>
      <c r="AA92" s="60"/>
      <c r="AB92" s="60"/>
      <c r="AC92" s="60"/>
      <c r="AD92" s="60"/>
      <c r="AE92" s="60"/>
      <c r="AF92" s="60"/>
      <c r="AG92" s="60"/>
      <c r="AH92" s="60"/>
      <c r="AI92" s="108"/>
      <c r="AJ92" s="108"/>
      <c r="AK92" s="204"/>
      <c r="AL92" s="204"/>
      <c r="AM92" s="204"/>
      <c r="AN92" s="204"/>
      <c r="AO92" s="204"/>
      <c r="AP92" s="204"/>
      <c r="AR92" s="108"/>
      <c r="AS92" s="108"/>
      <c r="AT92" s="108"/>
      <c r="AU92" s="108"/>
      <c r="AV92" s="108"/>
      <c r="AW92" s="108"/>
      <c r="AX92" s="108"/>
      <c r="AY92" s="108"/>
    </row>
    <row r="93" spans="2:51" s="59" customFormat="1" ht="15" customHeight="1">
      <c r="B93" s="203"/>
      <c r="D93" s="186"/>
      <c r="E93" s="201"/>
      <c r="F93" s="187"/>
      <c r="G93" s="187"/>
      <c r="H93" s="187"/>
      <c r="I93" s="187"/>
      <c r="J93" s="187"/>
      <c r="K93" s="200"/>
      <c r="L93" s="363"/>
      <c r="M93" s="364"/>
      <c r="N93" s="364"/>
      <c r="O93" s="725"/>
      <c r="P93" s="725"/>
      <c r="Q93" s="725"/>
      <c r="R93" s="201"/>
      <c r="S93" s="187"/>
      <c r="T93" s="187"/>
      <c r="U93" s="200"/>
      <c r="Z93" s="60"/>
      <c r="AA93" s="60"/>
      <c r="AB93" s="60"/>
      <c r="AC93" s="60"/>
      <c r="AD93" s="60"/>
      <c r="AE93" s="60"/>
      <c r="AF93" s="60"/>
      <c r="AG93" s="60"/>
      <c r="AH93" s="60"/>
      <c r="AI93" s="60"/>
      <c r="AJ93" s="60"/>
      <c r="AR93" s="60"/>
      <c r="AS93" s="60"/>
      <c r="AT93" s="60"/>
      <c r="AU93" s="60"/>
      <c r="AV93" s="60"/>
      <c r="AW93" s="60"/>
      <c r="AX93" s="60"/>
      <c r="AY93" s="60"/>
    </row>
    <row r="94" spans="2:51" s="59" customFormat="1" ht="15" customHeight="1">
      <c r="B94" s="203"/>
      <c r="D94" s="186"/>
      <c r="E94" s="201"/>
      <c r="F94" s="187"/>
      <c r="G94" s="187"/>
      <c r="H94" s="187"/>
      <c r="I94" s="187"/>
      <c r="J94" s="187"/>
      <c r="K94" s="200"/>
      <c r="L94" s="363"/>
      <c r="M94" s="364"/>
      <c r="N94" s="364"/>
      <c r="O94" s="725"/>
      <c r="P94" s="725"/>
      <c r="Q94" s="725"/>
      <c r="R94" s="201"/>
      <c r="S94" s="187"/>
      <c r="T94" s="187"/>
      <c r="U94" s="200"/>
      <c r="Z94" s="60"/>
      <c r="AA94" s="60"/>
      <c r="AB94" s="60"/>
      <c r="AC94" s="60"/>
      <c r="AD94" s="60"/>
      <c r="AE94" s="60"/>
      <c r="AF94" s="60"/>
      <c r="AG94" s="60"/>
      <c r="AH94" s="60"/>
      <c r="AI94" s="60"/>
      <c r="AJ94" s="60"/>
      <c r="AR94" s="60"/>
      <c r="AS94" s="60"/>
      <c r="AT94" s="60"/>
      <c r="AU94" s="60"/>
      <c r="AV94" s="60"/>
      <c r="AW94" s="60"/>
      <c r="AX94" s="60"/>
      <c r="AY94" s="60"/>
    </row>
    <row r="95" spans="2:51" s="59" customFormat="1" ht="15" customHeight="1">
      <c r="B95" s="203"/>
      <c r="D95" s="186"/>
      <c r="E95" s="201"/>
      <c r="F95" s="187"/>
      <c r="G95" s="187"/>
      <c r="H95" s="187"/>
      <c r="I95" s="187"/>
      <c r="J95" s="187"/>
      <c r="K95" s="188"/>
      <c r="L95" s="363"/>
      <c r="M95" s="364"/>
      <c r="N95" s="364"/>
      <c r="O95" s="365"/>
      <c r="P95" s="365"/>
      <c r="Q95" s="188"/>
      <c r="R95" s="201"/>
      <c r="S95" s="187"/>
      <c r="T95" s="187"/>
      <c r="U95" s="188"/>
      <c r="Z95" s="60"/>
      <c r="AA95" s="60"/>
      <c r="AB95" s="60"/>
      <c r="AC95" s="60"/>
      <c r="AD95" s="60"/>
      <c r="AE95" s="60"/>
      <c r="AF95" s="60"/>
      <c r="AG95" s="60"/>
      <c r="AH95" s="60"/>
      <c r="AI95" s="60"/>
      <c r="AJ95" s="60"/>
      <c r="AR95" s="60"/>
      <c r="AS95" s="60"/>
      <c r="AT95" s="60"/>
      <c r="AU95" s="60"/>
      <c r="AV95" s="60"/>
      <c r="AW95" s="60"/>
      <c r="AX95" s="60"/>
      <c r="AY95" s="60"/>
    </row>
    <row r="96" spans="2:51" s="59" customFormat="1" ht="15" customHeight="1">
      <c r="B96" s="203"/>
      <c r="D96" s="186"/>
      <c r="E96" s="201"/>
      <c r="F96" s="199"/>
      <c r="G96" s="199"/>
      <c r="H96" s="199"/>
      <c r="I96" s="199"/>
      <c r="J96" s="199"/>
      <c r="K96" s="188"/>
      <c r="L96" s="363"/>
      <c r="M96" s="366"/>
      <c r="N96" s="366"/>
      <c r="O96" s="365"/>
      <c r="P96" s="365"/>
      <c r="Q96" s="188"/>
      <c r="R96" s="201"/>
      <c r="S96" s="199"/>
      <c r="T96" s="199"/>
      <c r="U96" s="188"/>
      <c r="Z96" s="60"/>
      <c r="AA96" s="60"/>
      <c r="AB96" s="60"/>
      <c r="AC96" s="60"/>
      <c r="AD96" s="60"/>
      <c r="AE96" s="60"/>
      <c r="AF96" s="60"/>
      <c r="AG96" s="60"/>
      <c r="AH96" s="60"/>
      <c r="AI96" s="60"/>
      <c r="AJ96" s="60"/>
      <c r="AR96" s="60"/>
      <c r="AS96" s="60"/>
      <c r="AT96" s="60"/>
      <c r="AU96" s="60"/>
      <c r="AV96" s="60"/>
      <c r="AW96" s="60"/>
      <c r="AX96" s="60"/>
      <c r="AY96" s="60"/>
    </row>
    <row r="97" spans="2:51" s="59" customFormat="1" ht="15" customHeight="1">
      <c r="B97" s="203"/>
      <c r="D97" s="186"/>
      <c r="E97" s="201"/>
      <c r="F97" s="199"/>
      <c r="G97" s="199"/>
      <c r="H97" s="199"/>
      <c r="I97" s="199"/>
      <c r="J97" s="199"/>
      <c r="K97" s="188"/>
      <c r="L97" s="363"/>
      <c r="M97" s="366"/>
      <c r="N97" s="366"/>
      <c r="O97" s="365"/>
      <c r="P97" s="365"/>
      <c r="Q97" s="188"/>
      <c r="R97" s="201"/>
      <c r="S97" s="199"/>
      <c r="T97" s="199"/>
      <c r="U97" s="188"/>
      <c r="Z97" s="60"/>
      <c r="AA97" s="60"/>
      <c r="AB97" s="60"/>
      <c r="AC97" s="60"/>
      <c r="AD97" s="60"/>
      <c r="AE97" s="60"/>
      <c r="AF97" s="60"/>
      <c r="AG97" s="60"/>
      <c r="AH97" s="60"/>
      <c r="AI97" s="60"/>
      <c r="AJ97" s="60"/>
      <c r="AR97" s="60"/>
      <c r="AS97" s="60"/>
      <c r="AT97" s="60"/>
      <c r="AU97" s="60"/>
      <c r="AV97" s="60"/>
      <c r="AW97" s="60"/>
      <c r="AX97" s="60"/>
      <c r="AY97" s="60"/>
    </row>
    <row r="98" spans="2:51" s="59" customFormat="1" ht="15" customHeight="1">
      <c r="B98" s="203"/>
      <c r="D98" s="186"/>
      <c r="E98" s="201"/>
      <c r="F98" s="201"/>
      <c r="G98" s="201"/>
      <c r="H98" s="201"/>
      <c r="I98" s="201"/>
      <c r="J98" s="201"/>
      <c r="K98" s="188"/>
      <c r="L98" s="363"/>
      <c r="M98" s="363"/>
      <c r="N98" s="363"/>
      <c r="O98" s="365"/>
      <c r="P98" s="365"/>
      <c r="Q98" s="188"/>
      <c r="R98" s="201"/>
      <c r="S98" s="201"/>
      <c r="T98" s="201"/>
      <c r="U98" s="188"/>
      <c r="Z98" s="60"/>
      <c r="AA98" s="60"/>
      <c r="AB98" s="60"/>
      <c r="AC98" s="60"/>
      <c r="AD98" s="60"/>
      <c r="AE98" s="60"/>
      <c r="AF98" s="60"/>
      <c r="AG98" s="60"/>
      <c r="AH98" s="60"/>
      <c r="AI98" s="60"/>
      <c r="AJ98" s="60"/>
      <c r="AR98" s="60"/>
      <c r="AS98" s="60"/>
      <c r="AT98" s="60"/>
      <c r="AU98" s="60"/>
      <c r="AV98" s="60"/>
      <c r="AW98" s="60"/>
      <c r="AX98" s="60"/>
      <c r="AY98" s="60"/>
    </row>
    <row r="99" spans="2:51" s="59" customFormat="1" ht="15" customHeight="1">
      <c r="B99" s="194"/>
      <c r="C99" s="183"/>
      <c r="D99" s="726"/>
      <c r="E99" s="726"/>
      <c r="F99" s="726"/>
      <c r="G99" s="726"/>
      <c r="H99" s="189"/>
      <c r="I99" s="189"/>
      <c r="J99" s="189"/>
      <c r="K99" s="195"/>
      <c r="L99" s="367"/>
      <c r="M99" s="367"/>
      <c r="N99" s="367"/>
      <c r="O99" s="368"/>
      <c r="P99" s="368"/>
      <c r="Q99" s="195"/>
      <c r="R99" s="196"/>
      <c r="S99" s="196"/>
      <c r="T99" s="196"/>
      <c r="U99" s="195"/>
      <c r="V99" s="183"/>
      <c r="Z99" s="60"/>
      <c r="AA99" s="60"/>
      <c r="AB99" s="60"/>
      <c r="AC99" s="60"/>
      <c r="AD99" s="60"/>
      <c r="AE99" s="60"/>
      <c r="AF99" s="60"/>
      <c r="AG99" s="60"/>
      <c r="AH99" s="60"/>
      <c r="AI99" s="60"/>
      <c r="AJ99" s="60"/>
      <c r="AR99" s="60"/>
      <c r="AS99" s="60"/>
      <c r="AT99" s="60"/>
      <c r="AU99" s="60"/>
      <c r="AV99" s="60"/>
      <c r="AW99" s="60"/>
      <c r="AX99" s="60"/>
      <c r="AY99" s="60"/>
    </row>
    <row r="100" spans="2:51" s="59" customFormat="1" ht="15" customHeight="1">
      <c r="B100" s="184"/>
      <c r="C100" s="185"/>
      <c r="D100" s="186"/>
      <c r="E100" s="197"/>
      <c r="F100" s="206"/>
      <c r="G100" s="198"/>
      <c r="H100" s="199"/>
      <c r="I100" s="199"/>
      <c r="J100" s="187"/>
      <c r="K100" s="200"/>
      <c r="L100" s="363"/>
      <c r="M100" s="369"/>
      <c r="N100" s="364"/>
      <c r="O100" s="725"/>
      <c r="P100" s="725"/>
      <c r="Q100" s="725"/>
      <c r="R100" s="201"/>
      <c r="S100" s="202"/>
      <c r="T100" s="187"/>
      <c r="U100" s="200"/>
      <c r="Z100" s="60"/>
      <c r="AA100" s="60"/>
      <c r="AB100" s="60"/>
      <c r="AC100" s="60"/>
      <c r="AD100" s="60"/>
      <c r="AE100" s="60"/>
      <c r="AF100" s="60"/>
      <c r="AG100" s="60"/>
      <c r="AH100" s="60"/>
      <c r="AI100" s="60"/>
      <c r="AJ100" s="60"/>
      <c r="AR100" s="60"/>
      <c r="AS100" s="60"/>
      <c r="AT100" s="60"/>
      <c r="AU100" s="60"/>
      <c r="AV100" s="60"/>
      <c r="AW100" s="60"/>
      <c r="AX100" s="60"/>
      <c r="AY100" s="60"/>
    </row>
    <row r="101" spans="2:51" s="59" customFormat="1" ht="15" customHeight="1">
      <c r="B101" s="184"/>
      <c r="D101" s="186"/>
      <c r="E101" s="197"/>
      <c r="F101" s="206"/>
      <c r="G101" s="198"/>
      <c r="H101" s="199"/>
      <c r="I101" s="199"/>
      <c r="J101" s="187"/>
      <c r="K101" s="200"/>
      <c r="L101" s="363"/>
      <c r="M101" s="364"/>
      <c r="N101" s="364"/>
      <c r="O101" s="725"/>
      <c r="P101" s="725"/>
      <c r="Q101" s="725"/>
      <c r="R101" s="201"/>
      <c r="S101" s="187"/>
      <c r="T101" s="187"/>
      <c r="U101" s="200"/>
      <c r="Z101" s="60"/>
      <c r="AA101" s="60"/>
      <c r="AB101" s="60"/>
      <c r="AC101" s="60"/>
      <c r="AD101" s="60"/>
      <c r="AE101" s="60"/>
      <c r="AF101" s="60"/>
      <c r="AG101" s="60"/>
      <c r="AH101" s="60"/>
      <c r="AI101" s="60"/>
      <c r="AJ101" s="60"/>
      <c r="AR101" s="60"/>
      <c r="AS101" s="60"/>
      <c r="AT101" s="60"/>
      <c r="AU101" s="60"/>
      <c r="AV101" s="60"/>
      <c r="AW101" s="60"/>
      <c r="AX101" s="60"/>
      <c r="AY101" s="60"/>
    </row>
    <row r="102" spans="2:51" s="59" customFormat="1" ht="15" customHeight="1">
      <c r="B102" s="184"/>
      <c r="D102" s="186"/>
      <c r="E102" s="197"/>
      <c r="F102" s="206"/>
      <c r="G102" s="198"/>
      <c r="H102" s="199"/>
      <c r="I102" s="199"/>
      <c r="J102" s="187"/>
      <c r="K102" s="200"/>
      <c r="L102" s="363"/>
      <c r="M102" s="364"/>
      <c r="N102" s="364"/>
      <c r="O102" s="725"/>
      <c r="P102" s="725"/>
      <c r="Q102" s="725"/>
      <c r="R102" s="201"/>
      <c r="S102" s="187"/>
      <c r="T102" s="187"/>
      <c r="U102" s="200"/>
      <c r="Z102" s="60"/>
      <c r="AA102" s="60"/>
      <c r="AB102" s="60"/>
      <c r="AC102" s="60"/>
      <c r="AD102" s="60"/>
      <c r="AE102" s="60"/>
      <c r="AF102" s="60"/>
      <c r="AG102" s="60"/>
      <c r="AH102" s="60"/>
      <c r="AI102" s="60"/>
      <c r="AJ102" s="60"/>
      <c r="AR102" s="60"/>
      <c r="AS102" s="60"/>
      <c r="AT102" s="60"/>
      <c r="AU102" s="60"/>
      <c r="AV102" s="60"/>
      <c r="AW102" s="60"/>
      <c r="AX102" s="60"/>
      <c r="AY102" s="60"/>
    </row>
    <row r="103" spans="2:51" s="59" customFormat="1" ht="15" customHeight="1">
      <c r="B103" s="184"/>
      <c r="D103" s="186"/>
      <c r="E103" s="197"/>
      <c r="F103" s="206"/>
      <c r="G103" s="198"/>
      <c r="H103" s="199"/>
      <c r="I103" s="199"/>
      <c r="J103" s="187"/>
      <c r="K103" s="200"/>
      <c r="L103" s="363"/>
      <c r="M103" s="364"/>
      <c r="N103" s="364"/>
      <c r="O103" s="725"/>
      <c r="P103" s="725"/>
      <c r="Q103" s="725"/>
      <c r="R103" s="201"/>
      <c r="S103" s="187"/>
      <c r="T103" s="187"/>
      <c r="U103" s="200"/>
      <c r="Z103" s="60"/>
      <c r="AA103" s="60"/>
      <c r="AB103" s="60"/>
      <c r="AC103" s="60"/>
      <c r="AD103" s="60"/>
      <c r="AE103" s="60"/>
      <c r="AF103" s="60"/>
      <c r="AG103" s="60"/>
      <c r="AH103" s="60"/>
      <c r="AI103" s="60"/>
      <c r="AJ103" s="60"/>
      <c r="AR103" s="60"/>
      <c r="AS103" s="60"/>
      <c r="AT103" s="60"/>
      <c r="AU103" s="60"/>
      <c r="AV103" s="60"/>
      <c r="AW103" s="60"/>
      <c r="AX103" s="60"/>
      <c r="AY103" s="60"/>
    </row>
    <row r="104" spans="2:51" s="59" customFormat="1" ht="15" customHeight="1">
      <c r="B104" s="184"/>
      <c r="D104" s="186"/>
      <c r="E104" s="197"/>
      <c r="F104" s="206"/>
      <c r="G104" s="198"/>
      <c r="H104" s="199"/>
      <c r="I104" s="199"/>
      <c r="J104" s="187"/>
      <c r="K104" s="200"/>
      <c r="L104" s="363"/>
      <c r="M104" s="364"/>
      <c r="N104" s="364"/>
      <c r="O104" s="725"/>
      <c r="P104" s="725"/>
      <c r="Q104" s="725"/>
      <c r="R104" s="201"/>
      <c r="S104" s="187"/>
      <c r="T104" s="187"/>
      <c r="U104" s="200"/>
      <c r="Z104" s="60"/>
      <c r="AA104" s="60"/>
      <c r="AB104" s="60"/>
      <c r="AC104" s="60"/>
      <c r="AD104" s="60"/>
      <c r="AE104" s="60"/>
      <c r="AF104" s="60"/>
      <c r="AG104" s="60"/>
      <c r="AH104" s="60"/>
      <c r="AI104" s="60"/>
      <c r="AJ104" s="60"/>
      <c r="AR104" s="60"/>
      <c r="AS104" s="60"/>
      <c r="AT104" s="60"/>
      <c r="AU104" s="60"/>
      <c r="AV104" s="60"/>
      <c r="AW104" s="60"/>
      <c r="AX104" s="60"/>
      <c r="AY104" s="60"/>
    </row>
    <row r="105" spans="2:51" s="59" customFormat="1" ht="15" customHeight="1">
      <c r="B105" s="184"/>
      <c r="D105" s="186"/>
      <c r="E105" s="197"/>
      <c r="F105" s="206"/>
      <c r="G105" s="198"/>
      <c r="H105" s="199"/>
      <c r="I105" s="199"/>
      <c r="J105" s="187"/>
      <c r="K105" s="200"/>
      <c r="L105" s="363"/>
      <c r="M105" s="364"/>
      <c r="N105" s="364"/>
      <c r="O105" s="725"/>
      <c r="P105" s="725"/>
      <c r="Q105" s="725"/>
      <c r="R105" s="201"/>
      <c r="S105" s="187"/>
      <c r="T105" s="187"/>
      <c r="U105" s="200"/>
      <c r="Z105" s="60"/>
      <c r="AA105" s="60"/>
      <c r="AB105" s="60"/>
      <c r="AC105" s="60"/>
      <c r="AD105" s="60"/>
      <c r="AE105" s="60"/>
      <c r="AF105" s="60"/>
      <c r="AG105" s="60"/>
      <c r="AH105" s="60"/>
      <c r="AI105" s="60"/>
      <c r="AJ105" s="60"/>
      <c r="AR105" s="60"/>
      <c r="AS105" s="60"/>
      <c r="AT105" s="60"/>
      <c r="AU105" s="60"/>
      <c r="AV105" s="60"/>
      <c r="AW105" s="60"/>
      <c r="AX105" s="60"/>
      <c r="AY105" s="60"/>
    </row>
    <row r="106" spans="2:51" s="59" customFormat="1" ht="15" customHeight="1">
      <c r="B106" s="184"/>
      <c r="D106" s="186"/>
      <c r="E106" s="197"/>
      <c r="F106" s="206"/>
      <c r="G106" s="198"/>
      <c r="H106" s="199"/>
      <c r="I106" s="199"/>
      <c r="J106" s="187"/>
      <c r="K106" s="200"/>
      <c r="L106" s="363"/>
      <c r="M106" s="364"/>
      <c r="N106" s="364"/>
      <c r="O106" s="725"/>
      <c r="P106" s="725"/>
      <c r="Q106" s="725"/>
      <c r="R106" s="201"/>
      <c r="S106" s="187"/>
      <c r="T106" s="187"/>
      <c r="U106" s="200"/>
      <c r="Z106" s="60"/>
      <c r="AA106" s="60"/>
      <c r="AB106" s="60"/>
      <c r="AC106" s="60"/>
      <c r="AD106" s="60"/>
      <c r="AE106" s="60"/>
      <c r="AF106" s="60"/>
      <c r="AG106" s="60"/>
      <c r="AH106" s="60"/>
      <c r="AI106" s="60"/>
      <c r="AJ106" s="60"/>
      <c r="AR106" s="60"/>
      <c r="AS106" s="60"/>
      <c r="AT106" s="60"/>
      <c r="AU106" s="60"/>
      <c r="AV106" s="60"/>
      <c r="AW106" s="60"/>
      <c r="AX106" s="60"/>
      <c r="AY106" s="60"/>
    </row>
    <row r="107" spans="2:51" s="59" customFormat="1" ht="15" customHeight="1">
      <c r="B107" s="184"/>
      <c r="D107" s="186"/>
      <c r="E107" s="197"/>
      <c r="F107" s="206"/>
      <c r="G107" s="198"/>
      <c r="H107" s="199"/>
      <c r="I107" s="199"/>
      <c r="J107" s="187"/>
      <c r="K107" s="200"/>
      <c r="L107" s="363"/>
      <c r="M107" s="364"/>
      <c r="N107" s="364"/>
      <c r="O107" s="725"/>
      <c r="P107" s="725"/>
      <c r="Q107" s="725"/>
      <c r="R107" s="201"/>
      <c r="S107" s="187"/>
      <c r="T107" s="187"/>
      <c r="U107" s="200"/>
      <c r="Z107" s="60"/>
      <c r="AA107" s="60"/>
      <c r="AB107" s="60"/>
      <c r="AC107" s="60"/>
      <c r="AD107" s="60"/>
      <c r="AE107" s="60"/>
      <c r="AF107" s="60"/>
      <c r="AG107" s="60"/>
      <c r="AH107" s="60"/>
      <c r="AI107" s="60"/>
      <c r="AJ107" s="60"/>
      <c r="AR107" s="60"/>
      <c r="AS107" s="60"/>
      <c r="AT107" s="60"/>
      <c r="AU107" s="60"/>
      <c r="AV107" s="60"/>
      <c r="AW107" s="60"/>
      <c r="AX107" s="60"/>
      <c r="AY107" s="60"/>
    </row>
    <row r="108" spans="2:51" s="59" customFormat="1" ht="15" customHeight="1">
      <c r="B108" s="184"/>
      <c r="D108" s="186"/>
      <c r="E108" s="197"/>
      <c r="F108" s="206"/>
      <c r="G108" s="198"/>
      <c r="H108" s="199"/>
      <c r="I108" s="199"/>
      <c r="J108" s="187"/>
      <c r="K108" s="200"/>
      <c r="L108" s="363"/>
      <c r="M108" s="364"/>
      <c r="N108" s="364"/>
      <c r="O108" s="725"/>
      <c r="P108" s="725"/>
      <c r="Q108" s="725"/>
      <c r="R108" s="201"/>
      <c r="S108" s="187"/>
      <c r="T108" s="187"/>
      <c r="U108" s="200"/>
      <c r="Z108" s="60"/>
      <c r="AA108" s="60"/>
      <c r="AB108" s="60"/>
      <c r="AC108" s="60"/>
      <c r="AD108" s="60"/>
      <c r="AE108" s="60"/>
      <c r="AF108" s="60"/>
      <c r="AG108" s="60"/>
      <c r="AH108" s="60"/>
      <c r="AI108" s="60"/>
      <c r="AJ108" s="60"/>
      <c r="AR108" s="60"/>
      <c r="AS108" s="60"/>
      <c r="AT108" s="60"/>
      <c r="AU108" s="60"/>
      <c r="AV108" s="60"/>
      <c r="AW108" s="60"/>
      <c r="AX108" s="60"/>
      <c r="AY108" s="60"/>
    </row>
    <row r="109" spans="2:51" s="59" customFormat="1" ht="15" customHeight="1">
      <c r="B109" s="184"/>
      <c r="D109" s="186"/>
      <c r="E109" s="197"/>
      <c r="F109" s="206"/>
      <c r="G109" s="198"/>
      <c r="H109" s="199"/>
      <c r="I109" s="199"/>
      <c r="J109" s="187"/>
      <c r="K109" s="200"/>
      <c r="L109" s="363"/>
      <c r="M109" s="364"/>
      <c r="N109" s="364"/>
      <c r="O109" s="725"/>
      <c r="P109" s="725"/>
      <c r="Q109" s="725"/>
      <c r="R109" s="201"/>
      <c r="S109" s="187"/>
      <c r="T109" s="187"/>
      <c r="U109" s="200"/>
      <c r="Z109" s="60"/>
      <c r="AA109" s="60"/>
      <c r="AB109" s="60"/>
      <c r="AC109" s="60"/>
      <c r="AD109" s="60"/>
      <c r="AE109" s="60"/>
      <c r="AF109" s="60"/>
      <c r="AG109" s="60"/>
      <c r="AH109" s="60"/>
      <c r="AI109" s="60"/>
      <c r="AJ109" s="60"/>
      <c r="AR109" s="60"/>
      <c r="AS109" s="60"/>
      <c r="AT109" s="60"/>
      <c r="AU109" s="60"/>
      <c r="AV109" s="60"/>
      <c r="AW109" s="60"/>
      <c r="AX109" s="60"/>
      <c r="AY109" s="60"/>
    </row>
    <row r="110" spans="2:51" s="59" customFormat="1" ht="15" customHeight="1">
      <c r="B110" s="184"/>
      <c r="D110" s="186"/>
      <c r="E110" s="197"/>
      <c r="F110" s="206"/>
      <c r="G110" s="198"/>
      <c r="H110" s="199"/>
      <c r="I110" s="199"/>
      <c r="J110" s="187"/>
      <c r="K110" s="200"/>
      <c r="L110" s="363"/>
      <c r="M110" s="364"/>
      <c r="N110" s="364"/>
      <c r="O110" s="725"/>
      <c r="P110" s="725"/>
      <c r="Q110" s="725"/>
      <c r="R110" s="201"/>
      <c r="S110" s="187"/>
      <c r="T110" s="187"/>
      <c r="U110" s="200"/>
      <c r="Z110" s="60"/>
      <c r="AA110" s="60"/>
      <c r="AB110" s="60"/>
      <c r="AC110" s="60"/>
      <c r="AD110" s="60"/>
      <c r="AE110" s="60"/>
      <c r="AF110" s="60"/>
      <c r="AG110" s="60"/>
      <c r="AH110" s="60"/>
      <c r="AI110" s="60"/>
      <c r="AJ110" s="60"/>
      <c r="AR110" s="60"/>
      <c r="AS110" s="60"/>
      <c r="AT110" s="60"/>
      <c r="AU110" s="60"/>
      <c r="AV110" s="60"/>
      <c r="AW110" s="60"/>
      <c r="AX110" s="60"/>
      <c r="AY110" s="60"/>
    </row>
    <row r="111" spans="2:51" s="59" customFormat="1" ht="15" customHeight="1">
      <c r="B111" s="184"/>
      <c r="D111" s="186"/>
      <c r="E111" s="197"/>
      <c r="F111" s="206"/>
      <c r="G111" s="198"/>
      <c r="H111" s="199"/>
      <c r="I111" s="199"/>
      <c r="J111" s="187"/>
      <c r="K111" s="200"/>
      <c r="L111" s="363"/>
      <c r="M111" s="364"/>
      <c r="N111" s="364"/>
      <c r="O111" s="725"/>
      <c r="P111" s="725"/>
      <c r="Q111" s="725"/>
      <c r="R111" s="201"/>
      <c r="S111" s="187"/>
      <c r="T111" s="187"/>
      <c r="U111" s="200"/>
      <c r="Z111" s="60"/>
      <c r="AA111" s="60"/>
      <c r="AB111" s="60"/>
      <c r="AC111" s="60"/>
      <c r="AD111" s="60"/>
      <c r="AE111" s="60"/>
      <c r="AF111" s="60"/>
      <c r="AG111" s="60"/>
      <c r="AH111" s="60"/>
      <c r="AI111" s="60"/>
      <c r="AJ111" s="60"/>
      <c r="AR111" s="60"/>
      <c r="AS111" s="60"/>
      <c r="AT111" s="60"/>
      <c r="AU111" s="60"/>
      <c r="AV111" s="60"/>
      <c r="AW111" s="60"/>
      <c r="AX111" s="60"/>
      <c r="AY111" s="60"/>
    </row>
    <row r="112" spans="2:51" s="59" customFormat="1" ht="15" customHeight="1">
      <c r="B112" s="203"/>
      <c r="D112" s="186"/>
      <c r="E112" s="197"/>
      <c r="F112" s="206"/>
      <c r="G112" s="198"/>
      <c r="H112" s="199"/>
      <c r="I112" s="199"/>
      <c r="J112" s="187"/>
      <c r="K112" s="200"/>
      <c r="L112" s="363"/>
      <c r="M112" s="364"/>
      <c r="N112" s="364"/>
      <c r="O112" s="725"/>
      <c r="P112" s="725"/>
      <c r="Q112" s="725"/>
      <c r="R112" s="201"/>
      <c r="S112" s="187"/>
      <c r="T112" s="187"/>
      <c r="U112" s="200"/>
      <c r="Z112" s="60"/>
      <c r="AA112" s="60"/>
      <c r="AB112" s="60"/>
      <c r="AC112" s="60"/>
      <c r="AD112" s="60"/>
      <c r="AE112" s="60"/>
      <c r="AF112" s="60"/>
      <c r="AG112" s="60"/>
      <c r="AH112" s="60"/>
      <c r="AI112" s="60"/>
      <c r="AJ112" s="60"/>
      <c r="AR112" s="60"/>
      <c r="AS112" s="60"/>
      <c r="AT112" s="60"/>
      <c r="AU112" s="60"/>
      <c r="AV112" s="60"/>
      <c r="AW112" s="60"/>
      <c r="AX112" s="60"/>
      <c r="AY112" s="60"/>
    </row>
    <row r="113" spans="2:51" s="59" customFormat="1" ht="15" customHeight="1">
      <c r="B113" s="203"/>
      <c r="D113" s="186"/>
      <c r="E113" s="197"/>
      <c r="F113" s="206"/>
      <c r="G113" s="198"/>
      <c r="H113" s="199"/>
      <c r="I113" s="199"/>
      <c r="J113" s="187"/>
      <c r="K113" s="200"/>
      <c r="L113" s="363"/>
      <c r="M113" s="364"/>
      <c r="N113" s="364"/>
      <c r="O113" s="725"/>
      <c r="P113" s="725"/>
      <c r="Q113" s="725"/>
      <c r="R113" s="201"/>
      <c r="S113" s="187"/>
      <c r="T113" s="187"/>
      <c r="U113" s="200"/>
      <c r="Z113" s="60"/>
      <c r="AA113" s="60"/>
      <c r="AB113" s="60"/>
      <c r="AC113" s="60"/>
      <c r="AD113" s="60"/>
      <c r="AE113" s="60"/>
      <c r="AF113" s="60"/>
      <c r="AG113" s="60"/>
      <c r="AH113" s="60"/>
      <c r="AI113" s="60"/>
      <c r="AJ113" s="60"/>
      <c r="AR113" s="60"/>
      <c r="AS113" s="60"/>
      <c r="AT113" s="60"/>
      <c r="AU113" s="60"/>
      <c r="AV113" s="60"/>
      <c r="AW113" s="60"/>
      <c r="AX113" s="60"/>
      <c r="AY113" s="60"/>
    </row>
    <row r="114" spans="2:51" s="59" customFormat="1" ht="15" customHeight="1">
      <c r="B114" s="203"/>
      <c r="D114" s="186"/>
      <c r="E114" s="197"/>
      <c r="F114" s="206"/>
      <c r="G114" s="198"/>
      <c r="H114" s="199"/>
      <c r="I114" s="199"/>
      <c r="J114" s="187"/>
      <c r="K114" s="200"/>
      <c r="L114" s="363"/>
      <c r="M114" s="364"/>
      <c r="N114" s="364"/>
      <c r="O114" s="725"/>
      <c r="P114" s="725"/>
      <c r="Q114" s="725"/>
      <c r="R114" s="201"/>
      <c r="S114" s="187"/>
      <c r="T114" s="187"/>
      <c r="U114" s="200"/>
      <c r="Z114" s="60"/>
      <c r="AA114" s="60"/>
      <c r="AB114" s="60"/>
      <c r="AC114" s="60"/>
      <c r="AD114" s="60"/>
      <c r="AE114" s="60"/>
      <c r="AF114" s="60"/>
      <c r="AG114" s="60"/>
      <c r="AH114" s="60"/>
      <c r="AI114" s="60"/>
      <c r="AJ114" s="60"/>
      <c r="AR114" s="60"/>
      <c r="AS114" s="60"/>
      <c r="AT114" s="60"/>
      <c r="AU114" s="60"/>
      <c r="AV114" s="60"/>
      <c r="AW114" s="60"/>
      <c r="AX114" s="60"/>
      <c r="AY114" s="60"/>
    </row>
    <row r="115" spans="2:51" s="59" customFormat="1" ht="15" customHeight="1">
      <c r="B115" s="203"/>
      <c r="D115" s="186"/>
      <c r="E115" s="197"/>
      <c r="F115" s="206"/>
      <c r="G115" s="198"/>
      <c r="H115" s="199"/>
      <c r="I115" s="199"/>
      <c r="J115" s="187"/>
      <c r="K115" s="200"/>
      <c r="L115" s="363"/>
      <c r="M115" s="364"/>
      <c r="N115" s="364"/>
      <c r="O115" s="725"/>
      <c r="P115" s="725"/>
      <c r="Q115" s="725"/>
      <c r="R115" s="201"/>
      <c r="S115" s="187"/>
      <c r="T115" s="187"/>
      <c r="U115" s="200"/>
      <c r="Z115" s="60"/>
      <c r="AA115" s="60"/>
      <c r="AB115" s="60"/>
      <c r="AC115" s="60"/>
      <c r="AD115" s="60"/>
      <c r="AE115" s="60"/>
      <c r="AF115" s="60"/>
      <c r="AG115" s="60"/>
      <c r="AH115" s="60"/>
      <c r="AI115" s="60"/>
      <c r="AJ115" s="60"/>
      <c r="AR115" s="60"/>
      <c r="AS115" s="60"/>
      <c r="AT115" s="60"/>
      <c r="AU115" s="60"/>
      <c r="AV115" s="60"/>
      <c r="AW115" s="60"/>
      <c r="AX115" s="60"/>
      <c r="AY115" s="60"/>
    </row>
    <row r="116" spans="2:51" s="59" customFormat="1" ht="15" customHeight="1">
      <c r="B116" s="203"/>
      <c r="D116" s="186"/>
      <c r="E116" s="197"/>
      <c r="F116" s="206"/>
      <c r="G116" s="198"/>
      <c r="H116" s="199"/>
      <c r="I116" s="199"/>
      <c r="J116" s="187"/>
      <c r="K116" s="200"/>
      <c r="L116" s="363"/>
      <c r="M116" s="364"/>
      <c r="N116" s="364"/>
      <c r="O116" s="725"/>
      <c r="P116" s="725"/>
      <c r="Q116" s="725"/>
      <c r="R116" s="201"/>
      <c r="S116" s="187"/>
      <c r="T116" s="187"/>
      <c r="U116" s="200"/>
      <c r="Z116" s="60"/>
      <c r="AA116" s="60"/>
      <c r="AB116" s="60"/>
      <c r="AC116" s="60"/>
      <c r="AD116" s="60"/>
      <c r="AE116" s="60"/>
      <c r="AF116" s="60"/>
      <c r="AG116" s="60"/>
      <c r="AH116" s="60"/>
      <c r="AI116" s="60"/>
      <c r="AJ116" s="60"/>
      <c r="AR116" s="60"/>
      <c r="AS116" s="60"/>
      <c r="AT116" s="60"/>
      <c r="AU116" s="60"/>
      <c r="AV116" s="60"/>
      <c r="AW116" s="60"/>
      <c r="AX116" s="60"/>
      <c r="AY116" s="60"/>
    </row>
    <row r="117" spans="2:51" s="59" customFormat="1" ht="15" customHeight="1">
      <c r="B117" s="203"/>
      <c r="D117" s="186"/>
      <c r="E117" s="197"/>
      <c r="F117" s="206"/>
      <c r="G117" s="198"/>
      <c r="H117" s="199"/>
      <c r="I117" s="199"/>
      <c r="J117" s="187"/>
      <c r="K117" s="200"/>
      <c r="L117" s="363"/>
      <c r="M117" s="364"/>
      <c r="N117" s="364"/>
      <c r="O117" s="725"/>
      <c r="P117" s="725"/>
      <c r="Q117" s="725"/>
      <c r="R117" s="201"/>
      <c r="S117" s="187"/>
      <c r="T117" s="187"/>
      <c r="U117" s="200"/>
      <c r="Z117" s="60"/>
      <c r="AA117" s="60"/>
      <c r="AB117" s="60"/>
      <c r="AC117" s="60"/>
      <c r="AD117" s="60"/>
      <c r="AE117" s="60"/>
      <c r="AF117" s="60"/>
      <c r="AG117" s="60"/>
      <c r="AH117" s="60"/>
      <c r="AI117" s="60"/>
      <c r="AJ117" s="60"/>
      <c r="AR117" s="60"/>
      <c r="AS117" s="60"/>
      <c r="AT117" s="60"/>
      <c r="AU117" s="60"/>
      <c r="AV117" s="60"/>
      <c r="AW117" s="60"/>
      <c r="AX117" s="60"/>
      <c r="AY117" s="60"/>
    </row>
    <row r="118" spans="2:51" s="59" customFormat="1" ht="15" customHeight="1">
      <c r="B118" s="203"/>
      <c r="D118" s="186"/>
      <c r="E118" s="197"/>
      <c r="F118" s="206"/>
      <c r="G118" s="198"/>
      <c r="H118" s="199"/>
      <c r="I118" s="199"/>
      <c r="J118" s="187"/>
      <c r="K118" s="200"/>
      <c r="L118" s="363"/>
      <c r="M118" s="364"/>
      <c r="N118" s="364"/>
      <c r="O118" s="725"/>
      <c r="P118" s="725"/>
      <c r="Q118" s="725"/>
      <c r="R118" s="201"/>
      <c r="S118" s="187"/>
      <c r="T118" s="187"/>
      <c r="U118" s="200"/>
      <c r="Z118" s="60"/>
      <c r="AA118" s="60"/>
      <c r="AB118" s="60"/>
      <c r="AC118" s="60"/>
      <c r="AD118" s="60"/>
      <c r="AE118" s="60"/>
      <c r="AF118" s="60"/>
      <c r="AG118" s="60"/>
      <c r="AH118" s="60"/>
      <c r="AI118" s="60"/>
      <c r="AJ118" s="60"/>
      <c r="AR118" s="60"/>
      <c r="AS118" s="60"/>
      <c r="AT118" s="60"/>
      <c r="AU118" s="60"/>
      <c r="AV118" s="60"/>
      <c r="AW118" s="60"/>
      <c r="AX118" s="60"/>
      <c r="AY118" s="60"/>
    </row>
    <row r="119" spans="2:51" s="59" customFormat="1" ht="15" customHeight="1">
      <c r="B119" s="203"/>
      <c r="D119" s="186"/>
      <c r="E119" s="197"/>
      <c r="F119" s="206"/>
      <c r="G119" s="198"/>
      <c r="H119" s="199"/>
      <c r="I119" s="199"/>
      <c r="J119" s="187"/>
      <c r="K119" s="200"/>
      <c r="L119" s="363"/>
      <c r="M119" s="364"/>
      <c r="N119" s="364"/>
      <c r="O119" s="725"/>
      <c r="P119" s="725"/>
      <c r="Q119" s="725"/>
      <c r="R119" s="201"/>
      <c r="S119" s="187"/>
      <c r="T119" s="187"/>
      <c r="U119" s="200"/>
      <c r="Z119" s="60"/>
      <c r="AA119" s="60"/>
      <c r="AB119" s="60"/>
      <c r="AC119" s="60"/>
      <c r="AD119" s="60"/>
      <c r="AE119" s="60"/>
      <c r="AF119" s="60"/>
      <c r="AG119" s="60"/>
      <c r="AH119" s="60"/>
      <c r="AI119" s="60"/>
      <c r="AJ119" s="60"/>
      <c r="AR119" s="60"/>
      <c r="AS119" s="60"/>
      <c r="AT119" s="60"/>
      <c r="AU119" s="60"/>
      <c r="AV119" s="60"/>
      <c r="AW119" s="60"/>
      <c r="AX119" s="60"/>
      <c r="AY119" s="60"/>
    </row>
    <row r="120" spans="2:51" s="59" customFormat="1" ht="15" customHeight="1">
      <c r="B120" s="203"/>
      <c r="D120" s="186"/>
      <c r="E120" s="197"/>
      <c r="F120" s="206"/>
      <c r="G120" s="198"/>
      <c r="H120" s="199"/>
      <c r="I120" s="199"/>
      <c r="J120" s="187"/>
      <c r="K120" s="200"/>
      <c r="L120" s="363"/>
      <c r="M120" s="364"/>
      <c r="N120" s="364"/>
      <c r="O120" s="725"/>
      <c r="P120" s="725"/>
      <c r="Q120" s="725"/>
      <c r="R120" s="201"/>
      <c r="S120" s="187"/>
      <c r="T120" s="187"/>
      <c r="U120" s="200"/>
      <c r="Z120" s="60"/>
      <c r="AA120" s="60"/>
      <c r="AB120" s="60"/>
      <c r="AC120" s="60"/>
      <c r="AD120" s="60"/>
      <c r="AE120" s="60"/>
      <c r="AF120" s="60"/>
      <c r="AG120" s="60"/>
      <c r="AH120" s="60"/>
      <c r="AI120" s="60"/>
      <c r="AJ120" s="60"/>
      <c r="AR120" s="60"/>
      <c r="AS120" s="60"/>
      <c r="AT120" s="60"/>
      <c r="AU120" s="60"/>
      <c r="AV120" s="60"/>
      <c r="AW120" s="60"/>
      <c r="AX120" s="60"/>
      <c r="AY120" s="60"/>
    </row>
    <row r="121" spans="2:51" s="59" customFormat="1" ht="15" customHeight="1">
      <c r="B121" s="203"/>
      <c r="D121" s="186"/>
      <c r="E121" s="197"/>
      <c r="F121" s="206"/>
      <c r="G121" s="198"/>
      <c r="H121" s="199"/>
      <c r="I121" s="199"/>
      <c r="J121" s="187"/>
      <c r="K121" s="200"/>
      <c r="L121" s="363"/>
      <c r="M121" s="364"/>
      <c r="N121" s="364"/>
      <c r="O121" s="725"/>
      <c r="P121" s="725"/>
      <c r="Q121" s="725"/>
      <c r="R121" s="201"/>
      <c r="S121" s="187"/>
      <c r="T121" s="187"/>
      <c r="U121" s="200"/>
      <c r="Z121" s="60"/>
      <c r="AA121" s="60"/>
      <c r="AB121" s="60"/>
      <c r="AC121" s="60"/>
      <c r="AD121" s="60"/>
      <c r="AE121" s="60"/>
      <c r="AF121" s="60"/>
      <c r="AG121" s="60"/>
      <c r="AH121" s="60"/>
      <c r="AI121" s="60"/>
      <c r="AJ121" s="60"/>
      <c r="AR121" s="60"/>
      <c r="AS121" s="60"/>
      <c r="AT121" s="60"/>
      <c r="AU121" s="60"/>
      <c r="AV121" s="60"/>
      <c r="AW121" s="60"/>
      <c r="AX121" s="60"/>
      <c r="AY121" s="60"/>
    </row>
    <row r="122" spans="2:51" s="59" customFormat="1" ht="15" customHeight="1">
      <c r="B122" s="203"/>
      <c r="D122" s="186"/>
      <c r="E122" s="197"/>
      <c r="F122" s="206"/>
      <c r="G122" s="198"/>
      <c r="H122" s="199"/>
      <c r="I122" s="199"/>
      <c r="J122" s="187"/>
      <c r="K122" s="200"/>
      <c r="L122" s="363"/>
      <c r="M122" s="364"/>
      <c r="N122" s="364"/>
      <c r="O122" s="725"/>
      <c r="P122" s="725"/>
      <c r="Q122" s="725"/>
      <c r="R122" s="201"/>
      <c r="S122" s="187"/>
      <c r="T122" s="187"/>
      <c r="U122" s="200"/>
      <c r="Z122" s="60"/>
      <c r="AA122" s="60"/>
      <c r="AB122" s="60"/>
      <c r="AC122" s="60"/>
      <c r="AD122" s="60"/>
      <c r="AE122" s="60"/>
      <c r="AF122" s="60"/>
      <c r="AG122" s="60"/>
      <c r="AH122" s="60"/>
      <c r="AI122" s="60"/>
      <c r="AJ122" s="60"/>
      <c r="AR122" s="60"/>
      <c r="AS122" s="60"/>
      <c r="AT122" s="60"/>
      <c r="AU122" s="60"/>
      <c r="AV122" s="60"/>
      <c r="AW122" s="60"/>
      <c r="AX122" s="60"/>
      <c r="AY122" s="60"/>
    </row>
    <row r="123" spans="2:51" s="59" customFormat="1" ht="15" customHeight="1">
      <c r="B123" s="203"/>
      <c r="D123" s="186"/>
      <c r="E123" s="197"/>
      <c r="F123" s="206"/>
      <c r="G123" s="198"/>
      <c r="H123" s="199"/>
      <c r="I123" s="199"/>
      <c r="J123" s="187"/>
      <c r="K123" s="200"/>
      <c r="L123" s="363"/>
      <c r="M123" s="364"/>
      <c r="N123" s="364"/>
      <c r="O123" s="725"/>
      <c r="P123" s="725"/>
      <c r="Q123" s="725"/>
      <c r="R123" s="201"/>
      <c r="S123" s="187"/>
      <c r="T123" s="187"/>
      <c r="U123" s="200"/>
      <c r="Z123" s="60"/>
      <c r="AA123" s="60"/>
      <c r="AB123" s="60"/>
      <c r="AC123" s="60"/>
      <c r="AD123" s="60"/>
      <c r="AE123" s="60"/>
      <c r="AF123" s="60"/>
      <c r="AG123" s="60"/>
      <c r="AH123" s="60"/>
      <c r="AI123" s="60"/>
      <c r="AJ123" s="60"/>
      <c r="AR123" s="60"/>
      <c r="AS123" s="60"/>
      <c r="AT123" s="60"/>
      <c r="AU123" s="60"/>
      <c r="AV123" s="60"/>
      <c r="AW123" s="60"/>
      <c r="AX123" s="60"/>
      <c r="AY123" s="60"/>
    </row>
    <row r="124" spans="2:51" s="59" customFormat="1" ht="15" customHeight="1">
      <c r="B124" s="203"/>
      <c r="D124" s="186"/>
      <c r="E124" s="197"/>
      <c r="F124" s="206"/>
      <c r="G124" s="198"/>
      <c r="H124" s="199"/>
      <c r="I124" s="199"/>
      <c r="J124" s="187"/>
      <c r="K124" s="200"/>
      <c r="L124" s="363"/>
      <c r="M124" s="364"/>
      <c r="N124" s="364"/>
      <c r="O124" s="725"/>
      <c r="P124" s="725"/>
      <c r="Q124" s="725"/>
      <c r="R124" s="201"/>
      <c r="S124" s="187"/>
      <c r="T124" s="187"/>
      <c r="U124" s="200"/>
      <c r="Z124" s="60"/>
      <c r="AA124" s="60"/>
      <c r="AB124" s="60"/>
      <c r="AC124" s="60"/>
      <c r="AD124" s="60"/>
      <c r="AE124" s="60"/>
      <c r="AF124" s="60"/>
      <c r="AG124" s="60"/>
      <c r="AH124" s="60"/>
      <c r="AI124" s="60"/>
      <c r="AJ124" s="60"/>
      <c r="AR124" s="60"/>
      <c r="AS124" s="60"/>
      <c r="AT124" s="60"/>
      <c r="AU124" s="60"/>
      <c r="AV124" s="60"/>
      <c r="AW124" s="60"/>
      <c r="AX124" s="60"/>
      <c r="AY124" s="60"/>
    </row>
    <row r="125" spans="2:51" s="59" customFormat="1" ht="15" customHeight="1">
      <c r="B125" s="203"/>
      <c r="D125" s="186"/>
      <c r="E125" s="197"/>
      <c r="F125" s="206"/>
      <c r="G125" s="198"/>
      <c r="H125" s="199"/>
      <c r="I125" s="199"/>
      <c r="J125" s="187"/>
      <c r="K125" s="200"/>
      <c r="L125" s="363"/>
      <c r="M125" s="364"/>
      <c r="N125" s="364"/>
      <c r="O125" s="725"/>
      <c r="P125" s="725"/>
      <c r="Q125" s="725"/>
      <c r="R125" s="201"/>
      <c r="S125" s="187"/>
      <c r="T125" s="187"/>
      <c r="U125" s="200"/>
      <c r="Z125" s="60"/>
      <c r="AA125" s="60"/>
      <c r="AB125" s="60"/>
      <c r="AC125" s="60"/>
      <c r="AD125" s="60"/>
      <c r="AE125" s="60"/>
      <c r="AF125" s="60"/>
      <c r="AG125" s="60"/>
      <c r="AH125" s="60"/>
      <c r="AI125" s="60"/>
      <c r="AJ125" s="60"/>
      <c r="AR125" s="60"/>
      <c r="AS125" s="60"/>
      <c r="AT125" s="60"/>
      <c r="AU125" s="60"/>
      <c r="AV125" s="60"/>
      <c r="AW125" s="60"/>
      <c r="AX125" s="60"/>
      <c r="AY125" s="60"/>
    </row>
    <row r="126" spans="2:51" s="59" customFormat="1" ht="15" customHeight="1">
      <c r="B126" s="203"/>
      <c r="D126" s="186"/>
      <c r="E126" s="197"/>
      <c r="F126" s="206"/>
      <c r="G126" s="198"/>
      <c r="H126" s="199"/>
      <c r="I126" s="199"/>
      <c r="J126" s="187"/>
      <c r="K126" s="200"/>
      <c r="L126" s="363"/>
      <c r="M126" s="364"/>
      <c r="N126" s="364"/>
      <c r="O126" s="725"/>
      <c r="P126" s="725"/>
      <c r="Q126" s="725"/>
      <c r="R126" s="201"/>
      <c r="S126" s="187"/>
      <c r="T126" s="187"/>
      <c r="U126" s="200"/>
      <c r="Z126" s="60"/>
      <c r="AA126" s="60"/>
      <c r="AB126" s="60"/>
      <c r="AC126" s="60"/>
      <c r="AD126" s="60"/>
      <c r="AE126" s="60"/>
      <c r="AF126" s="60"/>
      <c r="AG126" s="60"/>
      <c r="AH126" s="60"/>
      <c r="AI126" s="60"/>
      <c r="AJ126" s="60"/>
      <c r="AR126" s="60"/>
      <c r="AS126" s="60"/>
      <c r="AT126" s="60"/>
      <c r="AU126" s="60"/>
      <c r="AV126" s="60"/>
      <c r="AW126" s="60"/>
      <c r="AX126" s="60"/>
      <c r="AY126" s="60"/>
    </row>
    <row r="127" spans="2:51" s="59" customFormat="1" ht="15" customHeight="1">
      <c r="B127" s="203"/>
      <c r="D127" s="186"/>
      <c r="E127" s="197"/>
      <c r="F127" s="206"/>
      <c r="G127" s="198"/>
      <c r="H127" s="199"/>
      <c r="I127" s="199"/>
      <c r="J127" s="187"/>
      <c r="K127" s="200"/>
      <c r="L127" s="363"/>
      <c r="M127" s="364"/>
      <c r="N127" s="364"/>
      <c r="O127" s="725"/>
      <c r="P127" s="725"/>
      <c r="Q127" s="725"/>
      <c r="R127" s="201"/>
      <c r="S127" s="187"/>
      <c r="T127" s="187"/>
      <c r="U127" s="200"/>
      <c r="Z127" s="60"/>
      <c r="AA127" s="60"/>
      <c r="AB127" s="60"/>
      <c r="AC127" s="60"/>
      <c r="AD127" s="60"/>
      <c r="AE127" s="60"/>
      <c r="AF127" s="60"/>
      <c r="AG127" s="60"/>
      <c r="AH127" s="60"/>
      <c r="AI127" s="60"/>
      <c r="AJ127" s="60"/>
      <c r="AR127" s="60"/>
      <c r="AS127" s="60"/>
      <c r="AT127" s="60"/>
      <c r="AU127" s="60"/>
      <c r="AV127" s="60"/>
      <c r="AW127" s="60"/>
      <c r="AX127" s="60"/>
      <c r="AY127" s="60"/>
    </row>
    <row r="128" spans="2:51" s="183" customFormat="1" ht="15" customHeight="1">
      <c r="B128" s="203"/>
      <c r="C128" s="59"/>
      <c r="D128" s="186"/>
      <c r="E128" s="197"/>
      <c r="F128" s="206"/>
      <c r="G128" s="198"/>
      <c r="H128" s="199"/>
      <c r="I128" s="199"/>
      <c r="J128" s="187"/>
      <c r="K128" s="200"/>
      <c r="L128" s="363"/>
      <c r="M128" s="364"/>
      <c r="N128" s="364"/>
      <c r="O128" s="725"/>
      <c r="P128" s="725"/>
      <c r="Q128" s="725"/>
      <c r="R128" s="201"/>
      <c r="S128" s="187"/>
      <c r="T128" s="187"/>
      <c r="U128" s="200"/>
      <c r="V128" s="59"/>
      <c r="Z128" s="108"/>
      <c r="AA128" s="60"/>
      <c r="AB128" s="60"/>
      <c r="AC128" s="60"/>
      <c r="AD128" s="60"/>
      <c r="AE128" s="60"/>
      <c r="AF128" s="60"/>
      <c r="AG128" s="60"/>
      <c r="AH128" s="60"/>
      <c r="AI128" s="108"/>
      <c r="AJ128" s="108"/>
      <c r="AK128" s="204"/>
      <c r="AL128" s="204"/>
      <c r="AM128" s="204"/>
      <c r="AN128" s="204"/>
      <c r="AO128" s="204"/>
      <c r="AP128" s="204"/>
      <c r="AR128" s="108"/>
      <c r="AS128" s="108"/>
      <c r="AT128" s="108"/>
      <c r="AU128" s="108"/>
      <c r="AV128" s="108"/>
      <c r="AW128" s="108"/>
      <c r="AX128" s="108"/>
      <c r="AY128" s="108"/>
    </row>
    <row r="129" spans="2:51" s="59" customFormat="1" ht="15" customHeight="1">
      <c r="B129" s="203"/>
      <c r="D129" s="186"/>
      <c r="E129" s="197"/>
      <c r="F129" s="206"/>
      <c r="G129" s="198"/>
      <c r="H129" s="199"/>
      <c r="I129" s="199"/>
      <c r="J129" s="187"/>
      <c r="K129" s="200"/>
      <c r="L129" s="363"/>
      <c r="M129" s="364"/>
      <c r="N129" s="364"/>
      <c r="O129" s="725"/>
      <c r="P129" s="725"/>
      <c r="Q129" s="725"/>
      <c r="R129" s="201"/>
      <c r="S129" s="187"/>
      <c r="T129" s="187"/>
      <c r="U129" s="200"/>
      <c r="Z129" s="60"/>
      <c r="AA129" s="60"/>
      <c r="AB129" s="60"/>
      <c r="AC129" s="60"/>
      <c r="AD129" s="60"/>
      <c r="AE129" s="60"/>
      <c r="AF129" s="60"/>
      <c r="AG129" s="60"/>
      <c r="AH129" s="60"/>
      <c r="AI129" s="60"/>
      <c r="AJ129" s="60"/>
      <c r="AR129" s="60"/>
      <c r="AS129" s="60"/>
      <c r="AT129" s="60"/>
      <c r="AU129" s="60"/>
      <c r="AV129" s="60"/>
      <c r="AW129" s="60"/>
      <c r="AX129" s="60"/>
      <c r="AY129" s="60"/>
    </row>
    <row r="130" spans="2:51" s="59" customFormat="1" ht="15" customHeight="1">
      <c r="B130" s="203"/>
      <c r="D130" s="186"/>
      <c r="E130" s="197"/>
      <c r="F130" s="206"/>
      <c r="G130" s="198"/>
      <c r="H130" s="199"/>
      <c r="I130" s="199"/>
      <c r="J130" s="187"/>
      <c r="K130" s="200"/>
      <c r="L130" s="363"/>
      <c r="M130" s="364"/>
      <c r="N130" s="364"/>
      <c r="O130" s="725"/>
      <c r="P130" s="725"/>
      <c r="Q130" s="725"/>
      <c r="R130" s="201"/>
      <c r="S130" s="187"/>
      <c r="T130" s="187"/>
      <c r="U130" s="200"/>
      <c r="Z130" s="60"/>
      <c r="AA130" s="60"/>
      <c r="AB130" s="60"/>
      <c r="AC130" s="60"/>
      <c r="AD130" s="60"/>
      <c r="AE130" s="60"/>
      <c r="AF130" s="60"/>
      <c r="AG130" s="60"/>
      <c r="AH130" s="60"/>
      <c r="AI130" s="60"/>
      <c r="AJ130" s="60"/>
      <c r="AR130" s="60"/>
      <c r="AS130" s="60"/>
      <c r="AT130" s="60"/>
      <c r="AU130" s="60"/>
      <c r="AV130" s="60"/>
      <c r="AW130" s="60"/>
      <c r="AX130" s="60"/>
      <c r="AY130" s="60"/>
    </row>
    <row r="131" spans="2:51" s="59" customFormat="1" ht="15" customHeight="1">
      <c r="B131" s="203"/>
      <c r="D131" s="186"/>
      <c r="E131" s="201"/>
      <c r="F131" s="187"/>
      <c r="G131" s="187"/>
      <c r="H131" s="187"/>
      <c r="I131" s="187"/>
      <c r="J131" s="187"/>
      <c r="K131" s="188"/>
      <c r="L131" s="363"/>
      <c r="M131" s="364"/>
      <c r="N131" s="364"/>
      <c r="O131" s="365"/>
      <c r="P131" s="365"/>
      <c r="Q131" s="188"/>
      <c r="R131" s="201"/>
      <c r="S131" s="187"/>
      <c r="T131" s="187"/>
      <c r="U131" s="188"/>
      <c r="Z131" s="60"/>
      <c r="AA131" s="60"/>
      <c r="AB131" s="60"/>
      <c r="AC131" s="60"/>
      <c r="AD131" s="60"/>
      <c r="AE131" s="60"/>
      <c r="AF131" s="60"/>
      <c r="AG131" s="60"/>
      <c r="AH131" s="60"/>
      <c r="AI131" s="60"/>
      <c r="AJ131" s="60"/>
      <c r="AR131" s="60"/>
      <c r="AS131" s="60"/>
      <c r="AT131" s="60"/>
      <c r="AU131" s="60"/>
      <c r="AV131" s="60"/>
      <c r="AW131" s="60"/>
      <c r="AX131" s="60"/>
      <c r="AY131" s="60"/>
    </row>
    <row r="132" spans="2:51" s="59" customFormat="1" ht="15" customHeight="1">
      <c r="B132" s="203"/>
      <c r="D132" s="186"/>
      <c r="E132" s="201"/>
      <c r="F132" s="199"/>
      <c r="G132" s="199"/>
      <c r="H132" s="199"/>
      <c r="I132" s="199"/>
      <c r="J132" s="199"/>
      <c r="K132" s="188"/>
      <c r="L132" s="363"/>
      <c r="M132" s="366"/>
      <c r="N132" s="366"/>
      <c r="O132" s="365"/>
      <c r="P132" s="365"/>
      <c r="Q132" s="188"/>
      <c r="R132" s="201"/>
      <c r="S132" s="199"/>
      <c r="T132" s="199"/>
      <c r="U132" s="188"/>
      <c r="Z132" s="60"/>
      <c r="AA132" s="60"/>
      <c r="AB132" s="60"/>
      <c r="AC132" s="60"/>
      <c r="AD132" s="60"/>
      <c r="AE132" s="60"/>
      <c r="AF132" s="60"/>
      <c r="AG132" s="60"/>
      <c r="AH132" s="60"/>
      <c r="AI132" s="60"/>
      <c r="AJ132" s="60"/>
      <c r="AR132" s="60"/>
      <c r="AS132" s="60"/>
      <c r="AT132" s="60"/>
      <c r="AU132" s="60"/>
      <c r="AV132" s="60"/>
      <c r="AW132" s="60"/>
      <c r="AX132" s="60"/>
      <c r="AY132" s="60"/>
    </row>
    <row r="133" spans="2:51" s="59" customFormat="1" ht="15" customHeight="1">
      <c r="B133" s="203"/>
      <c r="D133" s="186"/>
      <c r="E133" s="201"/>
      <c r="F133" s="199"/>
      <c r="G133" s="199"/>
      <c r="H133" s="199"/>
      <c r="I133" s="199"/>
      <c r="J133" s="199"/>
      <c r="K133" s="188"/>
      <c r="L133" s="363"/>
      <c r="M133" s="366"/>
      <c r="N133" s="366"/>
      <c r="O133" s="365"/>
      <c r="P133" s="365"/>
      <c r="Q133" s="188"/>
      <c r="R133" s="201"/>
      <c r="S133" s="199"/>
      <c r="T133" s="199"/>
      <c r="U133" s="188"/>
      <c r="Z133" s="60"/>
      <c r="AA133" s="60"/>
      <c r="AB133" s="60"/>
      <c r="AC133" s="60"/>
      <c r="AD133" s="60"/>
      <c r="AE133" s="60"/>
      <c r="AF133" s="60"/>
      <c r="AG133" s="60"/>
      <c r="AH133" s="60"/>
      <c r="AI133" s="60"/>
      <c r="AJ133" s="60"/>
      <c r="AR133" s="60"/>
      <c r="AS133" s="60"/>
      <c r="AT133" s="60"/>
      <c r="AU133" s="60"/>
      <c r="AV133" s="60"/>
      <c r="AW133" s="60"/>
      <c r="AX133" s="60"/>
      <c r="AY133" s="60"/>
    </row>
    <row r="134" spans="2:51" s="59" customFormat="1" ht="15" customHeight="1">
      <c r="B134" s="203"/>
      <c r="D134" s="186"/>
      <c r="E134" s="201"/>
      <c r="F134" s="201"/>
      <c r="G134" s="201"/>
      <c r="H134" s="201"/>
      <c r="I134" s="201"/>
      <c r="J134" s="201"/>
      <c r="K134" s="188"/>
      <c r="L134" s="363"/>
      <c r="M134" s="363"/>
      <c r="N134" s="363"/>
      <c r="O134" s="365"/>
      <c r="P134" s="365"/>
      <c r="Q134" s="188"/>
      <c r="R134" s="201"/>
      <c r="S134" s="201"/>
      <c r="T134" s="201"/>
      <c r="U134" s="188"/>
      <c r="Z134" s="60"/>
      <c r="AA134" s="60"/>
      <c r="AB134" s="60"/>
      <c r="AC134" s="60"/>
      <c r="AD134" s="60"/>
      <c r="AE134" s="60"/>
      <c r="AF134" s="60"/>
      <c r="AG134" s="60"/>
      <c r="AH134" s="60"/>
      <c r="AI134" s="60"/>
      <c r="AJ134" s="60"/>
      <c r="AR134" s="60"/>
      <c r="AS134" s="60"/>
      <c r="AT134" s="60"/>
      <c r="AU134" s="60"/>
      <c r="AV134" s="60"/>
      <c r="AW134" s="60"/>
      <c r="AX134" s="60"/>
      <c r="AY134" s="60"/>
    </row>
    <row r="135" spans="2:51" s="59" customFormat="1" ht="15" customHeight="1">
      <c r="B135" s="194"/>
      <c r="C135" s="183"/>
      <c r="D135" s="726"/>
      <c r="E135" s="726"/>
      <c r="F135" s="726"/>
      <c r="G135" s="726"/>
      <c r="H135" s="189"/>
      <c r="I135" s="189"/>
      <c r="J135" s="189"/>
      <c r="K135" s="195"/>
      <c r="L135" s="367"/>
      <c r="M135" s="367"/>
      <c r="N135" s="367"/>
      <c r="O135" s="368"/>
      <c r="P135" s="368"/>
      <c r="Q135" s="195"/>
      <c r="R135" s="196"/>
      <c r="S135" s="196"/>
      <c r="T135" s="196"/>
      <c r="U135" s="195"/>
      <c r="V135" s="183"/>
      <c r="Z135" s="60"/>
      <c r="AA135" s="60"/>
      <c r="AB135" s="60"/>
      <c r="AC135" s="60"/>
      <c r="AD135" s="60"/>
      <c r="AE135" s="60"/>
      <c r="AF135" s="60"/>
      <c r="AG135" s="60"/>
      <c r="AH135" s="60"/>
      <c r="AI135" s="60"/>
      <c r="AJ135" s="60"/>
      <c r="AR135" s="60"/>
      <c r="AS135" s="60"/>
      <c r="AT135" s="60"/>
      <c r="AU135" s="60"/>
      <c r="AV135" s="60"/>
      <c r="AW135" s="60"/>
      <c r="AX135" s="60"/>
      <c r="AY135" s="60"/>
    </row>
    <row r="136" spans="2:51" s="59" customFormat="1" ht="15" customHeight="1">
      <c r="B136" s="184"/>
      <c r="C136" s="185"/>
      <c r="D136" s="186"/>
      <c r="E136" s="197"/>
      <c r="F136" s="207"/>
      <c r="G136" s="198"/>
      <c r="H136" s="199"/>
      <c r="I136" s="199"/>
      <c r="J136" s="187"/>
      <c r="K136" s="200"/>
      <c r="L136" s="363"/>
      <c r="M136" s="369"/>
      <c r="N136" s="364"/>
      <c r="O136" s="725"/>
      <c r="P136" s="725"/>
      <c r="Q136" s="725"/>
      <c r="R136" s="201"/>
      <c r="S136" s="202"/>
      <c r="T136" s="187"/>
      <c r="U136" s="200"/>
      <c r="Z136" s="60"/>
      <c r="AA136" s="60"/>
      <c r="AB136" s="60"/>
      <c r="AC136" s="60"/>
      <c r="AD136" s="60"/>
      <c r="AE136" s="60"/>
      <c r="AF136" s="60"/>
      <c r="AG136" s="60"/>
      <c r="AH136" s="60"/>
      <c r="AI136" s="60"/>
      <c r="AJ136" s="60"/>
      <c r="AR136" s="60"/>
      <c r="AS136" s="60"/>
      <c r="AT136" s="60"/>
      <c r="AU136" s="60"/>
      <c r="AV136" s="60"/>
      <c r="AW136" s="60"/>
      <c r="AX136" s="60"/>
      <c r="AY136" s="60"/>
    </row>
    <row r="137" spans="2:51" s="59" customFormat="1" ht="15" customHeight="1">
      <c r="B137" s="184"/>
      <c r="D137" s="186"/>
      <c r="E137" s="197"/>
      <c r="F137" s="207"/>
      <c r="G137" s="198"/>
      <c r="H137" s="199"/>
      <c r="I137" s="199"/>
      <c r="J137" s="187"/>
      <c r="K137" s="200"/>
      <c r="L137" s="363"/>
      <c r="M137" s="369"/>
      <c r="N137" s="364"/>
      <c r="O137" s="725"/>
      <c r="P137" s="725"/>
      <c r="Q137" s="725"/>
      <c r="R137" s="201"/>
      <c r="S137" s="202"/>
      <c r="T137" s="187"/>
      <c r="U137" s="200"/>
      <c r="Z137" s="60"/>
      <c r="AA137" s="60"/>
      <c r="AB137" s="60"/>
      <c r="AC137" s="60"/>
      <c r="AD137" s="60"/>
      <c r="AE137" s="60"/>
      <c r="AF137" s="60"/>
      <c r="AG137" s="60"/>
      <c r="AH137" s="60"/>
      <c r="AI137" s="60"/>
      <c r="AJ137" s="60"/>
      <c r="AR137" s="60"/>
      <c r="AS137" s="60"/>
      <c r="AT137" s="60"/>
      <c r="AU137" s="60"/>
      <c r="AV137" s="60"/>
      <c r="AW137" s="60"/>
      <c r="AX137" s="60"/>
      <c r="AY137" s="60"/>
    </row>
    <row r="138" spans="2:51" s="59" customFormat="1" ht="15" customHeight="1">
      <c r="B138" s="184"/>
      <c r="D138" s="186"/>
      <c r="E138" s="197"/>
      <c r="F138" s="207"/>
      <c r="G138" s="198"/>
      <c r="H138" s="199"/>
      <c r="I138" s="199"/>
      <c r="J138" s="187"/>
      <c r="K138" s="200"/>
      <c r="L138" s="363"/>
      <c r="M138" s="369"/>
      <c r="N138" s="364"/>
      <c r="O138" s="725"/>
      <c r="P138" s="725"/>
      <c r="Q138" s="725"/>
      <c r="R138" s="201"/>
      <c r="S138" s="202"/>
      <c r="T138" s="187"/>
      <c r="U138" s="200"/>
      <c r="Z138" s="60"/>
      <c r="AA138" s="60"/>
      <c r="AB138" s="60"/>
      <c r="AC138" s="60"/>
      <c r="AD138" s="60"/>
      <c r="AE138" s="60"/>
      <c r="AF138" s="60"/>
      <c r="AG138" s="60"/>
      <c r="AH138" s="60"/>
      <c r="AI138" s="60"/>
      <c r="AJ138" s="60"/>
      <c r="AR138" s="60"/>
      <c r="AS138" s="60"/>
      <c r="AT138" s="60"/>
      <c r="AU138" s="60"/>
      <c r="AV138" s="60"/>
      <c r="AW138" s="60"/>
      <c r="AX138" s="60"/>
      <c r="AY138" s="60"/>
    </row>
    <row r="139" spans="2:51" s="59" customFormat="1" ht="15" customHeight="1">
      <c r="B139" s="184"/>
      <c r="D139" s="186"/>
      <c r="E139" s="197"/>
      <c r="F139" s="207"/>
      <c r="G139" s="198"/>
      <c r="H139" s="199"/>
      <c r="I139" s="199"/>
      <c r="J139" s="187"/>
      <c r="K139" s="200"/>
      <c r="L139" s="363"/>
      <c r="M139" s="369"/>
      <c r="N139" s="364"/>
      <c r="O139" s="725"/>
      <c r="P139" s="725"/>
      <c r="Q139" s="725"/>
      <c r="R139" s="201"/>
      <c r="S139" s="202"/>
      <c r="T139" s="187"/>
      <c r="U139" s="200"/>
      <c r="Z139" s="60"/>
      <c r="AA139" s="60"/>
      <c r="AB139" s="60"/>
      <c r="AC139" s="60"/>
      <c r="AD139" s="60"/>
      <c r="AE139" s="60"/>
      <c r="AF139" s="60"/>
      <c r="AG139" s="60"/>
      <c r="AH139" s="60"/>
      <c r="AI139" s="60"/>
      <c r="AJ139" s="60"/>
      <c r="AR139" s="60"/>
      <c r="AS139" s="60"/>
      <c r="AT139" s="60"/>
      <c r="AU139" s="60"/>
      <c r="AV139" s="60"/>
      <c r="AW139" s="60"/>
      <c r="AX139" s="60"/>
      <c r="AY139" s="60"/>
    </row>
    <row r="140" spans="2:51" s="59" customFormat="1" ht="15" customHeight="1">
      <c r="B140" s="184"/>
      <c r="D140" s="186"/>
      <c r="E140" s="197"/>
      <c r="F140" s="207"/>
      <c r="G140" s="198"/>
      <c r="H140" s="199"/>
      <c r="I140" s="199"/>
      <c r="J140" s="187"/>
      <c r="K140" s="200"/>
      <c r="L140" s="363"/>
      <c r="M140" s="369"/>
      <c r="N140" s="364"/>
      <c r="O140" s="725"/>
      <c r="P140" s="725"/>
      <c r="Q140" s="725"/>
      <c r="R140" s="201"/>
      <c r="S140" s="202"/>
      <c r="T140" s="187"/>
      <c r="U140" s="200"/>
      <c r="Z140" s="60"/>
      <c r="AA140" s="60"/>
      <c r="AB140" s="60"/>
      <c r="AC140" s="60"/>
      <c r="AD140" s="60"/>
      <c r="AE140" s="60"/>
      <c r="AF140" s="60"/>
      <c r="AG140" s="60"/>
      <c r="AH140" s="60"/>
      <c r="AI140" s="60"/>
      <c r="AJ140" s="60"/>
      <c r="AR140" s="60"/>
      <c r="AS140" s="60"/>
      <c r="AT140" s="60"/>
      <c r="AU140" s="60"/>
      <c r="AV140" s="60"/>
      <c r="AW140" s="60"/>
      <c r="AX140" s="60"/>
      <c r="AY140" s="60"/>
    </row>
    <row r="141" spans="2:51" s="59" customFormat="1" ht="15" customHeight="1">
      <c r="B141" s="184"/>
      <c r="D141" s="186"/>
      <c r="E141" s="197"/>
      <c r="F141" s="207"/>
      <c r="G141" s="198"/>
      <c r="H141" s="199"/>
      <c r="I141" s="199"/>
      <c r="J141" s="187"/>
      <c r="K141" s="200"/>
      <c r="L141" s="363"/>
      <c r="M141" s="369"/>
      <c r="N141" s="364"/>
      <c r="O141" s="725"/>
      <c r="P141" s="725"/>
      <c r="Q141" s="725"/>
      <c r="R141" s="201"/>
      <c r="S141" s="202"/>
      <c r="T141" s="187"/>
      <c r="U141" s="200"/>
      <c r="Z141" s="60"/>
      <c r="AA141" s="60"/>
      <c r="AB141" s="60"/>
      <c r="AC141" s="60"/>
      <c r="AD141" s="60"/>
      <c r="AE141" s="60"/>
      <c r="AF141" s="60"/>
      <c r="AG141" s="60"/>
      <c r="AH141" s="60"/>
      <c r="AI141" s="60"/>
      <c r="AJ141" s="60"/>
      <c r="AR141" s="60"/>
      <c r="AS141" s="60"/>
      <c r="AT141" s="60"/>
      <c r="AU141" s="60"/>
      <c r="AV141" s="60"/>
      <c r="AW141" s="60"/>
      <c r="AX141" s="60"/>
      <c r="AY141" s="60"/>
    </row>
    <row r="142" spans="2:51" s="59" customFormat="1" ht="15" customHeight="1">
      <c r="B142" s="184"/>
      <c r="D142" s="186"/>
      <c r="E142" s="197"/>
      <c r="F142" s="207"/>
      <c r="G142" s="198"/>
      <c r="H142" s="199"/>
      <c r="I142" s="199"/>
      <c r="J142" s="187"/>
      <c r="K142" s="200"/>
      <c r="L142" s="363"/>
      <c r="M142" s="369"/>
      <c r="N142" s="364"/>
      <c r="O142" s="725"/>
      <c r="P142" s="725"/>
      <c r="Q142" s="725"/>
      <c r="R142" s="201"/>
      <c r="S142" s="202"/>
      <c r="T142" s="187"/>
      <c r="U142" s="200"/>
      <c r="Z142" s="60"/>
      <c r="AA142" s="60"/>
      <c r="AB142" s="60"/>
      <c r="AC142" s="60"/>
      <c r="AD142" s="60"/>
      <c r="AE142" s="60"/>
      <c r="AF142" s="60"/>
      <c r="AG142" s="60"/>
      <c r="AH142" s="60"/>
      <c r="AI142" s="60"/>
      <c r="AJ142" s="60"/>
      <c r="AR142" s="60"/>
      <c r="AS142" s="60"/>
      <c r="AT142" s="60"/>
      <c r="AU142" s="60"/>
      <c r="AV142" s="60"/>
      <c r="AW142" s="60"/>
      <c r="AX142" s="60"/>
      <c r="AY142" s="60"/>
    </row>
    <row r="143" spans="2:51" s="59" customFormat="1" ht="15" customHeight="1">
      <c r="B143" s="184"/>
      <c r="D143" s="186"/>
      <c r="E143" s="197"/>
      <c r="F143" s="207"/>
      <c r="G143" s="198"/>
      <c r="H143" s="199"/>
      <c r="I143" s="199"/>
      <c r="J143" s="187"/>
      <c r="K143" s="200"/>
      <c r="L143" s="363"/>
      <c r="M143" s="369"/>
      <c r="N143" s="364"/>
      <c r="O143" s="725"/>
      <c r="P143" s="725"/>
      <c r="Q143" s="725"/>
      <c r="R143" s="201"/>
      <c r="S143" s="202"/>
      <c r="T143" s="187"/>
      <c r="U143" s="200"/>
      <c r="Z143" s="60"/>
      <c r="AA143" s="60"/>
      <c r="AB143" s="60"/>
      <c r="AC143" s="60"/>
      <c r="AD143" s="60"/>
      <c r="AE143" s="60"/>
      <c r="AF143" s="60"/>
      <c r="AG143" s="60"/>
      <c r="AH143" s="60"/>
      <c r="AI143" s="60"/>
      <c r="AJ143" s="60"/>
      <c r="AR143" s="60"/>
      <c r="AS143" s="60"/>
      <c r="AT143" s="60"/>
      <c r="AU143" s="60"/>
      <c r="AV143" s="60"/>
      <c r="AW143" s="60"/>
      <c r="AX143" s="60"/>
      <c r="AY143" s="60"/>
    </row>
    <row r="144" spans="2:51" s="59" customFormat="1" ht="15" customHeight="1">
      <c r="B144" s="184"/>
      <c r="D144" s="186"/>
      <c r="E144" s="197"/>
      <c r="F144" s="207"/>
      <c r="G144" s="198"/>
      <c r="H144" s="199"/>
      <c r="I144" s="199"/>
      <c r="J144" s="187"/>
      <c r="K144" s="200"/>
      <c r="L144" s="363"/>
      <c r="M144" s="369"/>
      <c r="N144" s="364"/>
      <c r="O144" s="725"/>
      <c r="P144" s="725"/>
      <c r="Q144" s="725"/>
      <c r="R144" s="201"/>
      <c r="S144" s="202"/>
      <c r="T144" s="187"/>
      <c r="U144" s="200"/>
      <c r="Z144" s="60"/>
      <c r="AA144" s="60"/>
      <c r="AB144" s="60"/>
      <c r="AC144" s="60"/>
      <c r="AD144" s="60"/>
      <c r="AE144" s="60"/>
      <c r="AF144" s="60"/>
      <c r="AG144" s="60"/>
      <c r="AH144" s="60"/>
      <c r="AI144" s="60"/>
      <c r="AJ144" s="60"/>
      <c r="AR144" s="60"/>
      <c r="AS144" s="60"/>
      <c r="AT144" s="60"/>
      <c r="AU144" s="60"/>
      <c r="AV144" s="60"/>
      <c r="AW144" s="60"/>
      <c r="AX144" s="60"/>
      <c r="AY144" s="60"/>
    </row>
    <row r="145" spans="2:51" s="59" customFormat="1" ht="15" customHeight="1">
      <c r="B145" s="184"/>
      <c r="D145" s="186"/>
      <c r="E145" s="197"/>
      <c r="F145" s="207"/>
      <c r="G145" s="198"/>
      <c r="H145" s="199"/>
      <c r="I145" s="199"/>
      <c r="J145" s="187"/>
      <c r="K145" s="200"/>
      <c r="L145" s="363"/>
      <c r="M145" s="369"/>
      <c r="N145" s="364"/>
      <c r="O145" s="725"/>
      <c r="P145" s="725"/>
      <c r="Q145" s="725"/>
      <c r="R145" s="201"/>
      <c r="S145" s="202"/>
      <c r="T145" s="187"/>
      <c r="U145" s="200"/>
      <c r="Z145" s="60"/>
      <c r="AA145" s="60"/>
      <c r="AB145" s="60"/>
      <c r="AC145" s="60"/>
      <c r="AD145" s="60"/>
      <c r="AE145" s="60"/>
      <c r="AF145" s="60"/>
      <c r="AG145" s="60"/>
      <c r="AH145" s="60"/>
      <c r="AI145" s="60"/>
      <c r="AJ145" s="60"/>
      <c r="AR145" s="60"/>
      <c r="AS145" s="60"/>
      <c r="AT145" s="60"/>
      <c r="AU145" s="60"/>
      <c r="AV145" s="60"/>
      <c r="AW145" s="60"/>
      <c r="AX145" s="60"/>
      <c r="AY145" s="60"/>
    </row>
    <row r="146" spans="2:51" s="59" customFormat="1" ht="15" customHeight="1">
      <c r="B146" s="184"/>
      <c r="D146" s="186"/>
      <c r="E146" s="197"/>
      <c r="F146" s="207"/>
      <c r="G146" s="198"/>
      <c r="H146" s="199"/>
      <c r="I146" s="199"/>
      <c r="J146" s="187"/>
      <c r="K146" s="200"/>
      <c r="L146" s="363"/>
      <c r="M146" s="369"/>
      <c r="N146" s="364"/>
      <c r="O146" s="725"/>
      <c r="P146" s="725"/>
      <c r="Q146" s="725"/>
      <c r="R146" s="201"/>
      <c r="S146" s="202"/>
      <c r="T146" s="187"/>
      <c r="U146" s="200"/>
      <c r="Z146" s="60"/>
      <c r="AA146" s="60"/>
      <c r="AB146" s="60"/>
      <c r="AC146" s="60"/>
      <c r="AD146" s="60"/>
      <c r="AE146" s="60"/>
      <c r="AF146" s="60"/>
      <c r="AG146" s="60"/>
      <c r="AH146" s="60"/>
      <c r="AI146" s="60"/>
      <c r="AJ146" s="60"/>
      <c r="AR146" s="60"/>
      <c r="AS146" s="60"/>
      <c r="AT146" s="60"/>
      <c r="AU146" s="60"/>
      <c r="AV146" s="60"/>
      <c r="AW146" s="60"/>
      <c r="AX146" s="60"/>
      <c r="AY146" s="60"/>
    </row>
    <row r="147" spans="2:51" s="59" customFormat="1" ht="15" customHeight="1">
      <c r="B147" s="184"/>
      <c r="D147" s="186"/>
      <c r="E147" s="197"/>
      <c r="F147" s="207"/>
      <c r="G147" s="198"/>
      <c r="H147" s="199"/>
      <c r="I147" s="199"/>
      <c r="J147" s="187"/>
      <c r="K147" s="200"/>
      <c r="L147" s="363"/>
      <c r="M147" s="369"/>
      <c r="N147" s="364"/>
      <c r="O147" s="725"/>
      <c r="P147" s="725"/>
      <c r="Q147" s="725"/>
      <c r="R147" s="201"/>
      <c r="S147" s="202"/>
      <c r="T147" s="187"/>
      <c r="U147" s="200"/>
      <c r="Z147" s="60"/>
      <c r="AA147" s="60"/>
      <c r="AB147" s="60"/>
      <c r="AC147" s="60"/>
      <c r="AD147" s="60"/>
      <c r="AE147" s="60"/>
      <c r="AF147" s="60"/>
      <c r="AG147" s="60"/>
      <c r="AH147" s="60"/>
      <c r="AI147" s="60"/>
      <c r="AJ147" s="60"/>
      <c r="AR147" s="60"/>
      <c r="AS147" s="60"/>
      <c r="AT147" s="60"/>
      <c r="AU147" s="60"/>
      <c r="AV147" s="60"/>
      <c r="AW147" s="60"/>
      <c r="AX147" s="60"/>
      <c r="AY147" s="60"/>
    </row>
    <row r="148" spans="2:51" s="59" customFormat="1" ht="15" customHeight="1">
      <c r="B148" s="203"/>
      <c r="D148" s="186"/>
      <c r="E148" s="197"/>
      <c r="F148" s="207"/>
      <c r="G148" s="198"/>
      <c r="H148" s="199"/>
      <c r="I148" s="199"/>
      <c r="J148" s="187"/>
      <c r="K148" s="200"/>
      <c r="L148" s="363"/>
      <c r="M148" s="369"/>
      <c r="N148" s="364"/>
      <c r="O148" s="725"/>
      <c r="P148" s="725"/>
      <c r="Q148" s="725"/>
      <c r="R148" s="201"/>
      <c r="S148" s="202"/>
      <c r="T148" s="187"/>
      <c r="U148" s="200"/>
      <c r="Z148" s="60"/>
      <c r="AA148" s="60"/>
      <c r="AB148" s="60"/>
      <c r="AC148" s="60"/>
      <c r="AD148" s="60"/>
      <c r="AE148" s="60"/>
      <c r="AF148" s="60"/>
      <c r="AG148" s="60"/>
      <c r="AH148" s="60"/>
      <c r="AI148" s="60"/>
      <c r="AJ148" s="60"/>
      <c r="AR148" s="60"/>
      <c r="AS148" s="60"/>
      <c r="AT148" s="60"/>
      <c r="AU148" s="60"/>
      <c r="AV148" s="60"/>
      <c r="AW148" s="60"/>
      <c r="AX148" s="60"/>
      <c r="AY148" s="60"/>
    </row>
    <row r="149" spans="2:51" s="59" customFormat="1" ht="15" customHeight="1">
      <c r="B149" s="203"/>
      <c r="D149" s="186"/>
      <c r="E149" s="197"/>
      <c r="F149" s="207"/>
      <c r="G149" s="198"/>
      <c r="H149" s="199"/>
      <c r="I149" s="199"/>
      <c r="J149" s="187"/>
      <c r="K149" s="200"/>
      <c r="L149" s="363"/>
      <c r="M149" s="369"/>
      <c r="N149" s="364"/>
      <c r="O149" s="725"/>
      <c r="P149" s="725"/>
      <c r="Q149" s="725"/>
      <c r="R149" s="201"/>
      <c r="S149" s="202"/>
      <c r="T149" s="187"/>
      <c r="U149" s="200"/>
      <c r="Z149" s="60"/>
      <c r="AA149" s="60"/>
      <c r="AB149" s="60"/>
      <c r="AC149" s="60"/>
      <c r="AD149" s="60"/>
      <c r="AE149" s="60"/>
      <c r="AF149" s="60"/>
      <c r="AG149" s="60"/>
      <c r="AH149" s="60"/>
      <c r="AI149" s="60"/>
      <c r="AJ149" s="60"/>
      <c r="AR149" s="60"/>
      <c r="AS149" s="60"/>
      <c r="AT149" s="60"/>
      <c r="AU149" s="60"/>
      <c r="AV149" s="60"/>
      <c r="AW149" s="60"/>
      <c r="AX149" s="60"/>
      <c r="AY149" s="60"/>
    </row>
    <row r="150" spans="2:51" s="59" customFormat="1" ht="15" customHeight="1">
      <c r="B150" s="203"/>
      <c r="D150" s="186"/>
      <c r="E150" s="197"/>
      <c r="F150" s="207"/>
      <c r="G150" s="198"/>
      <c r="H150" s="199"/>
      <c r="I150" s="199"/>
      <c r="J150" s="187"/>
      <c r="K150" s="200"/>
      <c r="L150" s="363"/>
      <c r="M150" s="369"/>
      <c r="N150" s="364"/>
      <c r="O150" s="725"/>
      <c r="P150" s="725"/>
      <c r="Q150" s="725"/>
      <c r="R150" s="201"/>
      <c r="S150" s="202"/>
      <c r="T150" s="187"/>
      <c r="U150" s="200"/>
      <c r="Z150" s="60"/>
      <c r="AA150" s="60"/>
      <c r="AB150" s="60"/>
      <c r="AC150" s="60"/>
      <c r="AD150" s="60"/>
      <c r="AE150" s="60"/>
      <c r="AF150" s="60"/>
      <c r="AG150" s="60"/>
      <c r="AH150" s="60"/>
      <c r="AI150" s="60"/>
      <c r="AJ150" s="60"/>
      <c r="AR150" s="60"/>
      <c r="AS150" s="60"/>
      <c r="AT150" s="60"/>
      <c r="AU150" s="60"/>
      <c r="AV150" s="60"/>
      <c r="AW150" s="60"/>
      <c r="AX150" s="60"/>
      <c r="AY150" s="60"/>
    </row>
    <row r="151" spans="2:51" s="59" customFormat="1" ht="15" customHeight="1">
      <c r="B151" s="203"/>
      <c r="D151" s="186"/>
      <c r="E151" s="197"/>
      <c r="F151" s="207"/>
      <c r="G151" s="198"/>
      <c r="H151" s="199"/>
      <c r="I151" s="199"/>
      <c r="J151" s="187"/>
      <c r="K151" s="200"/>
      <c r="L151" s="363"/>
      <c r="M151" s="369"/>
      <c r="N151" s="364"/>
      <c r="O151" s="725"/>
      <c r="P151" s="725"/>
      <c r="Q151" s="725"/>
      <c r="R151" s="201"/>
      <c r="S151" s="202"/>
      <c r="T151" s="187"/>
      <c r="U151" s="200"/>
      <c r="Z151" s="60"/>
      <c r="AA151" s="60"/>
      <c r="AB151" s="60"/>
      <c r="AC151" s="60"/>
      <c r="AD151" s="60"/>
      <c r="AE151" s="60"/>
      <c r="AF151" s="60"/>
      <c r="AG151" s="60"/>
      <c r="AH151" s="60"/>
      <c r="AI151" s="60"/>
      <c r="AJ151" s="60"/>
      <c r="AR151" s="60"/>
      <c r="AS151" s="60"/>
      <c r="AT151" s="60"/>
      <c r="AU151" s="60"/>
      <c r="AV151" s="60"/>
      <c r="AW151" s="60"/>
      <c r="AX151" s="60"/>
      <c r="AY151" s="60"/>
    </row>
    <row r="152" spans="2:51" s="59" customFormat="1" ht="15" customHeight="1">
      <c r="B152" s="203"/>
      <c r="D152" s="186"/>
      <c r="E152" s="197"/>
      <c r="F152" s="207"/>
      <c r="G152" s="198"/>
      <c r="H152" s="199"/>
      <c r="I152" s="199"/>
      <c r="J152" s="187"/>
      <c r="K152" s="200"/>
      <c r="L152" s="363"/>
      <c r="M152" s="369"/>
      <c r="N152" s="364"/>
      <c r="O152" s="725"/>
      <c r="P152" s="725"/>
      <c r="Q152" s="725"/>
      <c r="R152" s="201"/>
      <c r="S152" s="202"/>
      <c r="T152" s="187"/>
      <c r="U152" s="200"/>
      <c r="Z152" s="60"/>
      <c r="AA152" s="60"/>
      <c r="AB152" s="60"/>
      <c r="AC152" s="60"/>
      <c r="AD152" s="60"/>
      <c r="AE152" s="60"/>
      <c r="AF152" s="60"/>
      <c r="AG152" s="60"/>
      <c r="AH152" s="60"/>
      <c r="AI152" s="60"/>
      <c r="AJ152" s="60"/>
      <c r="AR152" s="60"/>
      <c r="AS152" s="60"/>
      <c r="AT152" s="60"/>
      <c r="AU152" s="60"/>
      <c r="AV152" s="60"/>
      <c r="AW152" s="60"/>
      <c r="AX152" s="60"/>
      <c r="AY152" s="60"/>
    </row>
    <row r="153" spans="2:51" s="59" customFormat="1" ht="15" customHeight="1">
      <c r="B153" s="203"/>
      <c r="D153" s="186"/>
      <c r="E153" s="197"/>
      <c r="F153" s="207"/>
      <c r="G153" s="198"/>
      <c r="H153" s="199"/>
      <c r="I153" s="199"/>
      <c r="J153" s="187"/>
      <c r="K153" s="200"/>
      <c r="L153" s="363"/>
      <c r="M153" s="369"/>
      <c r="N153" s="364"/>
      <c r="O153" s="725"/>
      <c r="P153" s="725"/>
      <c r="Q153" s="725"/>
      <c r="R153" s="201"/>
      <c r="S153" s="202"/>
      <c r="T153" s="187"/>
      <c r="U153" s="200"/>
      <c r="Z153" s="60"/>
      <c r="AA153" s="60"/>
      <c r="AB153" s="60"/>
      <c r="AC153" s="60"/>
      <c r="AD153" s="60"/>
      <c r="AE153" s="60"/>
      <c r="AF153" s="60"/>
      <c r="AG153" s="60"/>
      <c r="AH153" s="60"/>
      <c r="AI153" s="60"/>
      <c r="AJ153" s="60"/>
      <c r="AR153" s="60"/>
      <c r="AS153" s="60"/>
      <c r="AT153" s="60"/>
      <c r="AU153" s="60"/>
      <c r="AV153" s="60"/>
      <c r="AW153" s="60"/>
      <c r="AX153" s="60"/>
      <c r="AY153" s="60"/>
    </row>
    <row r="154" spans="2:51" s="59" customFormat="1" ht="15" customHeight="1">
      <c r="B154" s="203"/>
      <c r="D154" s="186"/>
      <c r="E154" s="197"/>
      <c r="F154" s="207"/>
      <c r="G154" s="198"/>
      <c r="H154" s="199"/>
      <c r="I154" s="199"/>
      <c r="J154" s="187"/>
      <c r="K154" s="200"/>
      <c r="L154" s="363"/>
      <c r="M154" s="369"/>
      <c r="N154" s="364"/>
      <c r="O154" s="725"/>
      <c r="P154" s="725"/>
      <c r="Q154" s="725"/>
      <c r="R154" s="201"/>
      <c r="S154" s="202"/>
      <c r="T154" s="187"/>
      <c r="U154" s="200"/>
      <c r="Z154" s="60"/>
      <c r="AA154" s="60"/>
      <c r="AB154" s="60"/>
      <c r="AC154" s="60"/>
      <c r="AD154" s="60"/>
      <c r="AE154" s="60"/>
      <c r="AF154" s="60"/>
      <c r="AG154" s="60"/>
      <c r="AH154" s="60"/>
      <c r="AI154" s="60"/>
      <c r="AJ154" s="60"/>
      <c r="AR154" s="60"/>
      <c r="AS154" s="60"/>
      <c r="AT154" s="60"/>
      <c r="AU154" s="60"/>
      <c r="AV154" s="60"/>
      <c r="AW154" s="60"/>
      <c r="AX154" s="60"/>
      <c r="AY154" s="60"/>
    </row>
    <row r="155" spans="2:51" s="59" customFormat="1" ht="15" customHeight="1">
      <c r="B155" s="203"/>
      <c r="D155" s="186"/>
      <c r="E155" s="197"/>
      <c r="F155" s="207"/>
      <c r="G155" s="198"/>
      <c r="H155" s="199"/>
      <c r="I155" s="199"/>
      <c r="J155" s="187"/>
      <c r="K155" s="200"/>
      <c r="L155" s="363"/>
      <c r="M155" s="369"/>
      <c r="N155" s="364"/>
      <c r="O155" s="725"/>
      <c r="P155" s="725"/>
      <c r="Q155" s="725"/>
      <c r="R155" s="201"/>
      <c r="S155" s="202"/>
      <c r="T155" s="187"/>
      <c r="U155" s="200"/>
      <c r="Z155" s="60"/>
      <c r="AA155" s="60"/>
      <c r="AB155" s="60"/>
      <c r="AC155" s="60"/>
      <c r="AD155" s="60"/>
      <c r="AE155" s="60"/>
      <c r="AF155" s="60"/>
      <c r="AG155" s="60"/>
      <c r="AH155" s="60"/>
      <c r="AI155" s="60"/>
      <c r="AJ155" s="60"/>
      <c r="AR155" s="60"/>
      <c r="AS155" s="60"/>
      <c r="AT155" s="60"/>
      <c r="AU155" s="60"/>
      <c r="AV155" s="60"/>
      <c r="AW155" s="60"/>
      <c r="AX155" s="60"/>
      <c r="AY155" s="60"/>
    </row>
    <row r="156" spans="2:51" s="59" customFormat="1" ht="15" customHeight="1">
      <c r="B156" s="203"/>
      <c r="D156" s="186"/>
      <c r="E156" s="197"/>
      <c r="F156" s="207"/>
      <c r="G156" s="198"/>
      <c r="H156" s="199"/>
      <c r="I156" s="199"/>
      <c r="J156" s="187"/>
      <c r="K156" s="200"/>
      <c r="L156" s="363"/>
      <c r="M156" s="369"/>
      <c r="N156" s="364"/>
      <c r="O156" s="725"/>
      <c r="P156" s="725"/>
      <c r="Q156" s="725"/>
      <c r="R156" s="201"/>
      <c r="S156" s="202"/>
      <c r="T156" s="187"/>
      <c r="U156" s="200"/>
      <c r="Z156" s="60"/>
      <c r="AA156" s="60"/>
      <c r="AB156" s="60"/>
      <c r="AC156" s="60"/>
      <c r="AD156" s="60"/>
      <c r="AE156" s="60"/>
      <c r="AF156" s="60"/>
      <c r="AG156" s="60"/>
      <c r="AH156" s="60"/>
      <c r="AI156" s="60"/>
      <c r="AJ156" s="60"/>
      <c r="AR156" s="60"/>
      <c r="AS156" s="60"/>
      <c r="AT156" s="60"/>
      <c r="AU156" s="60"/>
      <c r="AV156" s="60"/>
      <c r="AW156" s="60"/>
      <c r="AX156" s="60"/>
      <c r="AY156" s="60"/>
    </row>
    <row r="157" spans="2:51" s="59" customFormat="1" ht="15" customHeight="1">
      <c r="B157" s="203"/>
      <c r="D157" s="186"/>
      <c r="E157" s="197"/>
      <c r="F157" s="207"/>
      <c r="G157" s="198"/>
      <c r="H157" s="199"/>
      <c r="I157" s="199"/>
      <c r="J157" s="187"/>
      <c r="K157" s="200"/>
      <c r="L157" s="363"/>
      <c r="M157" s="369"/>
      <c r="N157" s="364"/>
      <c r="O157" s="725"/>
      <c r="P157" s="725"/>
      <c r="Q157" s="725"/>
      <c r="R157" s="201"/>
      <c r="S157" s="202"/>
      <c r="T157" s="187"/>
      <c r="U157" s="200"/>
      <c r="Z157" s="60"/>
      <c r="AA157" s="60"/>
      <c r="AB157" s="60"/>
      <c r="AC157" s="60"/>
      <c r="AD157" s="60"/>
      <c r="AE157" s="60"/>
      <c r="AF157" s="60"/>
      <c r="AG157" s="60"/>
      <c r="AH157" s="60"/>
      <c r="AI157" s="60"/>
      <c r="AJ157" s="60"/>
      <c r="AR157" s="60"/>
      <c r="AS157" s="60"/>
      <c r="AT157" s="60"/>
      <c r="AU157" s="60"/>
      <c r="AV157" s="60"/>
      <c r="AW157" s="60"/>
      <c r="AX157" s="60"/>
      <c r="AY157" s="60"/>
    </row>
    <row r="158" spans="2:51" s="59" customFormat="1" ht="15" customHeight="1">
      <c r="B158" s="203"/>
      <c r="D158" s="186"/>
      <c r="E158" s="197"/>
      <c r="F158" s="207"/>
      <c r="G158" s="198"/>
      <c r="H158" s="199"/>
      <c r="I158" s="199"/>
      <c r="J158" s="187"/>
      <c r="K158" s="200"/>
      <c r="L158" s="363"/>
      <c r="M158" s="369"/>
      <c r="N158" s="364"/>
      <c r="O158" s="725"/>
      <c r="P158" s="725"/>
      <c r="Q158" s="725"/>
      <c r="R158" s="201"/>
      <c r="S158" s="202"/>
      <c r="T158" s="187"/>
      <c r="U158" s="200"/>
      <c r="Z158" s="60"/>
      <c r="AA158" s="60"/>
      <c r="AB158" s="60"/>
      <c r="AC158" s="60"/>
      <c r="AD158" s="60"/>
      <c r="AE158" s="60"/>
      <c r="AF158" s="60"/>
      <c r="AG158" s="60"/>
      <c r="AH158" s="60"/>
      <c r="AI158" s="60"/>
      <c r="AJ158" s="60"/>
      <c r="AR158" s="60"/>
      <c r="AS158" s="60"/>
      <c r="AT158" s="60"/>
      <c r="AU158" s="60"/>
      <c r="AV158" s="60"/>
      <c r="AW158" s="60"/>
      <c r="AX158" s="60"/>
      <c r="AY158" s="60"/>
    </row>
    <row r="159" spans="2:51" s="59" customFormat="1" ht="15" customHeight="1">
      <c r="B159" s="203"/>
      <c r="D159" s="186"/>
      <c r="E159" s="197"/>
      <c r="F159" s="207"/>
      <c r="G159" s="198"/>
      <c r="H159" s="199"/>
      <c r="I159" s="199"/>
      <c r="J159" s="187"/>
      <c r="K159" s="200"/>
      <c r="L159" s="363"/>
      <c r="M159" s="369"/>
      <c r="N159" s="364"/>
      <c r="O159" s="725"/>
      <c r="P159" s="725"/>
      <c r="Q159" s="725"/>
      <c r="R159" s="201"/>
      <c r="S159" s="202"/>
      <c r="T159" s="187"/>
      <c r="U159" s="200"/>
      <c r="Z159" s="60"/>
      <c r="AA159" s="60"/>
      <c r="AB159" s="60"/>
      <c r="AC159" s="60"/>
      <c r="AD159" s="60"/>
      <c r="AE159" s="60"/>
      <c r="AF159" s="60"/>
      <c r="AG159" s="60"/>
      <c r="AH159" s="60"/>
      <c r="AI159" s="60"/>
      <c r="AJ159" s="60"/>
      <c r="AR159" s="60"/>
      <c r="AS159" s="60"/>
      <c r="AT159" s="60"/>
      <c r="AU159" s="60"/>
      <c r="AV159" s="60"/>
      <c r="AW159" s="60"/>
      <c r="AX159" s="60"/>
      <c r="AY159" s="60"/>
    </row>
    <row r="160" spans="2:51" s="59" customFormat="1" ht="15" customHeight="1">
      <c r="B160" s="203"/>
      <c r="D160" s="186"/>
      <c r="E160" s="197"/>
      <c r="F160" s="207"/>
      <c r="G160" s="198"/>
      <c r="H160" s="199"/>
      <c r="I160" s="199"/>
      <c r="J160" s="187"/>
      <c r="K160" s="200"/>
      <c r="L160" s="363"/>
      <c r="M160" s="369"/>
      <c r="N160" s="364"/>
      <c r="O160" s="725"/>
      <c r="P160" s="725"/>
      <c r="Q160" s="725"/>
      <c r="R160" s="201"/>
      <c r="S160" s="202"/>
      <c r="T160" s="187"/>
      <c r="U160" s="200"/>
      <c r="Z160" s="60"/>
      <c r="AA160" s="60"/>
      <c r="AB160" s="60"/>
      <c r="AC160" s="60"/>
      <c r="AD160" s="60"/>
      <c r="AE160" s="60"/>
      <c r="AF160" s="60"/>
      <c r="AG160" s="60"/>
      <c r="AH160" s="60"/>
      <c r="AI160" s="60"/>
      <c r="AJ160" s="60"/>
      <c r="AR160" s="60"/>
      <c r="AS160" s="60"/>
      <c r="AT160" s="60"/>
      <c r="AU160" s="60"/>
      <c r="AV160" s="60"/>
      <c r="AW160" s="60"/>
      <c r="AX160" s="60"/>
      <c r="AY160" s="60"/>
    </row>
    <row r="161" spans="2:51" s="59" customFormat="1" ht="15" customHeight="1">
      <c r="B161" s="203"/>
      <c r="D161" s="186"/>
      <c r="E161" s="197"/>
      <c r="F161" s="207"/>
      <c r="G161" s="198"/>
      <c r="H161" s="199"/>
      <c r="I161" s="199"/>
      <c r="J161" s="187"/>
      <c r="K161" s="200"/>
      <c r="L161" s="363"/>
      <c r="M161" s="369"/>
      <c r="N161" s="364"/>
      <c r="O161" s="725"/>
      <c r="P161" s="725"/>
      <c r="Q161" s="725"/>
      <c r="R161" s="201"/>
      <c r="S161" s="202"/>
      <c r="T161" s="187"/>
      <c r="U161" s="200"/>
      <c r="Z161" s="60"/>
      <c r="AA161" s="60"/>
      <c r="AB161" s="60"/>
      <c r="AC161" s="60"/>
      <c r="AD161" s="60"/>
      <c r="AE161" s="60"/>
      <c r="AF161" s="60"/>
      <c r="AG161" s="60"/>
      <c r="AH161" s="60"/>
      <c r="AI161" s="60"/>
      <c r="AJ161" s="60"/>
      <c r="AR161" s="60"/>
      <c r="AS161" s="60"/>
      <c r="AT161" s="60"/>
      <c r="AU161" s="60"/>
      <c r="AV161" s="60"/>
      <c r="AW161" s="60"/>
      <c r="AX161" s="60"/>
      <c r="AY161" s="60"/>
    </row>
    <row r="162" spans="2:51" s="59" customFormat="1" ht="15" customHeight="1">
      <c r="B162" s="203"/>
      <c r="D162" s="186"/>
      <c r="E162" s="197"/>
      <c r="F162" s="207"/>
      <c r="G162" s="198"/>
      <c r="H162" s="199"/>
      <c r="I162" s="199"/>
      <c r="J162" s="187"/>
      <c r="K162" s="200"/>
      <c r="L162" s="363"/>
      <c r="M162" s="369"/>
      <c r="N162" s="364"/>
      <c r="O162" s="725"/>
      <c r="P162" s="725"/>
      <c r="Q162" s="725"/>
      <c r="R162" s="201"/>
      <c r="S162" s="202"/>
      <c r="T162" s="187"/>
      <c r="U162" s="200"/>
      <c r="Z162" s="60"/>
      <c r="AA162" s="60"/>
      <c r="AB162" s="60"/>
      <c r="AC162" s="60"/>
      <c r="AD162" s="60"/>
      <c r="AE162" s="60"/>
      <c r="AF162" s="60"/>
      <c r="AG162" s="60"/>
      <c r="AH162" s="60"/>
      <c r="AI162" s="60"/>
      <c r="AJ162" s="60"/>
      <c r="AR162" s="60"/>
      <c r="AS162" s="60"/>
      <c r="AT162" s="60"/>
      <c r="AU162" s="60"/>
      <c r="AV162" s="60"/>
      <c r="AW162" s="60"/>
      <c r="AX162" s="60"/>
      <c r="AY162" s="60"/>
    </row>
    <row r="163" spans="2:51" s="59" customFormat="1" ht="15" customHeight="1">
      <c r="B163" s="203"/>
      <c r="D163" s="186"/>
      <c r="E163" s="197"/>
      <c r="F163" s="207"/>
      <c r="G163" s="198"/>
      <c r="H163" s="199"/>
      <c r="I163" s="199"/>
      <c r="J163" s="187"/>
      <c r="K163" s="200"/>
      <c r="L163" s="363"/>
      <c r="M163" s="369"/>
      <c r="N163" s="364"/>
      <c r="O163" s="725"/>
      <c r="P163" s="725"/>
      <c r="Q163" s="725"/>
      <c r="R163" s="201"/>
      <c r="S163" s="202"/>
      <c r="T163" s="187"/>
      <c r="U163" s="200"/>
      <c r="Z163" s="60"/>
      <c r="AA163" s="60"/>
      <c r="AB163" s="60"/>
      <c r="AC163" s="60"/>
      <c r="AD163" s="60"/>
      <c r="AE163" s="60"/>
      <c r="AF163" s="60"/>
      <c r="AG163" s="60"/>
      <c r="AH163" s="60"/>
      <c r="AI163" s="60"/>
      <c r="AJ163" s="60"/>
      <c r="AR163" s="60"/>
      <c r="AS163" s="60"/>
      <c r="AT163" s="60"/>
      <c r="AU163" s="60"/>
      <c r="AV163" s="60"/>
      <c r="AW163" s="60"/>
      <c r="AX163" s="60"/>
      <c r="AY163" s="60"/>
    </row>
    <row r="164" spans="2:51" s="183" customFormat="1" ht="15" customHeight="1">
      <c r="B164" s="203"/>
      <c r="C164" s="59"/>
      <c r="D164" s="186"/>
      <c r="E164" s="197"/>
      <c r="F164" s="207"/>
      <c r="G164" s="198"/>
      <c r="H164" s="199"/>
      <c r="I164" s="199"/>
      <c r="J164" s="187"/>
      <c r="K164" s="200"/>
      <c r="L164" s="363"/>
      <c r="M164" s="369"/>
      <c r="N164" s="364"/>
      <c r="O164" s="725"/>
      <c r="P164" s="725"/>
      <c r="Q164" s="725"/>
      <c r="R164" s="201"/>
      <c r="S164" s="202"/>
      <c r="T164" s="187"/>
      <c r="U164" s="200"/>
      <c r="V164" s="59"/>
      <c r="Z164" s="108"/>
      <c r="AA164" s="60"/>
      <c r="AB164" s="60"/>
      <c r="AC164" s="60"/>
      <c r="AD164" s="60"/>
      <c r="AE164" s="60"/>
      <c r="AF164" s="60"/>
      <c r="AG164" s="60"/>
      <c r="AH164" s="60"/>
      <c r="AI164" s="108"/>
      <c r="AJ164" s="108"/>
      <c r="AK164" s="204"/>
      <c r="AL164" s="204"/>
      <c r="AM164" s="204"/>
      <c r="AN164" s="204"/>
      <c r="AO164" s="204"/>
      <c r="AP164" s="204"/>
      <c r="AR164" s="108"/>
      <c r="AS164" s="108"/>
      <c r="AT164" s="108"/>
      <c r="AU164" s="108"/>
      <c r="AV164" s="108"/>
      <c r="AW164" s="108"/>
      <c r="AX164" s="108"/>
      <c r="AY164" s="108"/>
    </row>
    <row r="165" spans="2:51" s="59" customFormat="1" ht="15" customHeight="1">
      <c r="B165" s="203"/>
      <c r="D165" s="186"/>
      <c r="E165" s="197"/>
      <c r="F165" s="207"/>
      <c r="G165" s="198"/>
      <c r="H165" s="199"/>
      <c r="I165" s="199"/>
      <c r="J165" s="187"/>
      <c r="K165" s="200"/>
      <c r="L165" s="363"/>
      <c r="M165" s="369"/>
      <c r="N165" s="364"/>
      <c r="O165" s="725"/>
      <c r="P165" s="725"/>
      <c r="Q165" s="725"/>
      <c r="R165" s="201"/>
      <c r="S165" s="202"/>
      <c r="T165" s="187"/>
      <c r="U165" s="200"/>
      <c r="Z165" s="60"/>
      <c r="AA165" s="60"/>
      <c r="AB165" s="60"/>
      <c r="AC165" s="60"/>
      <c r="AD165" s="60"/>
      <c r="AE165" s="60"/>
      <c r="AF165" s="60"/>
      <c r="AG165" s="60"/>
      <c r="AH165" s="60"/>
      <c r="AI165" s="60"/>
      <c r="AJ165" s="60"/>
      <c r="AR165" s="60"/>
      <c r="AS165" s="60"/>
      <c r="AT165" s="60"/>
      <c r="AU165" s="60"/>
      <c r="AV165" s="60"/>
      <c r="AW165" s="60"/>
      <c r="AX165" s="60"/>
      <c r="AY165" s="60"/>
    </row>
    <row r="166" spans="2:51" s="59" customFormat="1" ht="15" customHeight="1">
      <c r="B166" s="203"/>
      <c r="D166" s="186"/>
      <c r="E166" s="201"/>
      <c r="F166" s="202"/>
      <c r="G166" s="187"/>
      <c r="H166" s="187"/>
      <c r="I166" s="187"/>
      <c r="J166" s="187"/>
      <c r="K166" s="200"/>
      <c r="L166" s="363"/>
      <c r="M166" s="369"/>
      <c r="N166" s="364"/>
      <c r="O166" s="725"/>
      <c r="P166" s="725"/>
      <c r="Q166" s="725"/>
      <c r="R166" s="201"/>
      <c r="S166" s="202"/>
      <c r="T166" s="187"/>
      <c r="U166" s="200"/>
      <c r="Z166" s="60"/>
      <c r="AA166" s="60"/>
      <c r="AB166" s="60"/>
      <c r="AC166" s="60"/>
      <c r="AD166" s="60"/>
      <c r="AE166" s="60"/>
      <c r="AF166" s="60"/>
      <c r="AG166" s="60"/>
      <c r="AH166" s="60"/>
      <c r="AI166" s="60"/>
      <c r="AJ166" s="60"/>
      <c r="AR166" s="60"/>
      <c r="AS166" s="60"/>
      <c r="AT166" s="60"/>
      <c r="AU166" s="60"/>
      <c r="AV166" s="60"/>
      <c r="AW166" s="60"/>
      <c r="AX166" s="60"/>
      <c r="AY166" s="60"/>
    </row>
    <row r="167" spans="2:51" s="59" customFormat="1" ht="15" customHeight="1">
      <c r="B167" s="203"/>
      <c r="D167" s="186"/>
      <c r="E167" s="201"/>
      <c r="F167" s="187"/>
      <c r="G167" s="187"/>
      <c r="H167" s="187"/>
      <c r="I167" s="187"/>
      <c r="J167" s="187"/>
      <c r="K167" s="188"/>
      <c r="L167" s="363"/>
      <c r="M167" s="364"/>
      <c r="N167" s="364"/>
      <c r="O167" s="365"/>
      <c r="P167" s="365"/>
      <c r="Q167" s="188"/>
      <c r="R167" s="201"/>
      <c r="S167" s="187"/>
      <c r="T167" s="187"/>
      <c r="U167" s="188"/>
      <c r="Z167" s="60"/>
      <c r="AA167" s="60"/>
      <c r="AB167" s="60"/>
      <c r="AC167" s="60"/>
      <c r="AD167" s="60"/>
      <c r="AE167" s="60"/>
      <c r="AF167" s="60"/>
      <c r="AG167" s="60"/>
      <c r="AH167" s="60"/>
      <c r="AI167" s="60"/>
      <c r="AJ167" s="60"/>
      <c r="AR167" s="60"/>
      <c r="AS167" s="60"/>
      <c r="AT167" s="60"/>
      <c r="AU167" s="60"/>
      <c r="AV167" s="60"/>
      <c r="AW167" s="60"/>
      <c r="AX167" s="60"/>
      <c r="AY167" s="60"/>
    </row>
    <row r="168" spans="2:51" s="59" customFormat="1" ht="15" customHeight="1">
      <c r="B168" s="203"/>
      <c r="D168" s="186"/>
      <c r="E168" s="201"/>
      <c r="F168" s="199"/>
      <c r="G168" s="199"/>
      <c r="H168" s="199"/>
      <c r="I168" s="199"/>
      <c r="J168" s="199"/>
      <c r="K168" s="188"/>
      <c r="L168" s="363"/>
      <c r="M168" s="366"/>
      <c r="N168" s="366"/>
      <c r="O168" s="365"/>
      <c r="P168" s="365"/>
      <c r="Q168" s="188"/>
      <c r="R168" s="201"/>
      <c r="S168" s="199"/>
      <c r="T168" s="199"/>
      <c r="U168" s="188"/>
      <c r="Z168" s="60"/>
      <c r="AA168" s="60"/>
      <c r="AB168" s="60"/>
      <c r="AC168" s="60"/>
      <c r="AD168" s="60"/>
      <c r="AE168" s="60"/>
      <c r="AF168" s="60"/>
      <c r="AG168" s="60"/>
      <c r="AH168" s="60"/>
      <c r="AI168" s="60"/>
      <c r="AJ168" s="60"/>
      <c r="AR168" s="60"/>
      <c r="AS168" s="60"/>
      <c r="AT168" s="60"/>
      <c r="AU168" s="60"/>
      <c r="AV168" s="60"/>
      <c r="AW168" s="60"/>
      <c r="AX168" s="60"/>
      <c r="AY168" s="60"/>
    </row>
    <row r="169" spans="2:51" s="59" customFormat="1" ht="15" customHeight="1">
      <c r="B169" s="203"/>
      <c r="D169" s="186"/>
      <c r="E169" s="201"/>
      <c r="F169" s="199"/>
      <c r="G169" s="199"/>
      <c r="H169" s="199"/>
      <c r="I169" s="199"/>
      <c r="J169" s="199"/>
      <c r="K169" s="188"/>
      <c r="L169" s="363"/>
      <c r="M169" s="366"/>
      <c r="N169" s="366"/>
      <c r="O169" s="365"/>
      <c r="P169" s="365"/>
      <c r="Q169" s="188"/>
      <c r="R169" s="201"/>
      <c r="S169" s="199"/>
      <c r="T169" s="199"/>
      <c r="U169" s="188"/>
      <c r="Z169" s="60"/>
      <c r="AA169" s="60"/>
      <c r="AB169" s="60"/>
      <c r="AC169" s="60"/>
      <c r="AD169" s="60"/>
      <c r="AE169" s="60"/>
      <c r="AF169" s="60"/>
      <c r="AG169" s="60"/>
      <c r="AH169" s="60"/>
      <c r="AI169" s="60"/>
      <c r="AJ169" s="60"/>
      <c r="AR169" s="60"/>
      <c r="AS169" s="60"/>
      <c r="AT169" s="60"/>
      <c r="AU169" s="60"/>
      <c r="AV169" s="60"/>
      <c r="AW169" s="60"/>
      <c r="AX169" s="60"/>
      <c r="AY169" s="60"/>
    </row>
    <row r="170" spans="2:51" s="59" customFormat="1" ht="15" customHeight="1">
      <c r="B170" s="203"/>
      <c r="D170" s="186"/>
      <c r="E170" s="201"/>
      <c r="F170" s="201"/>
      <c r="G170" s="201"/>
      <c r="H170" s="201"/>
      <c r="I170" s="201"/>
      <c r="J170" s="201"/>
      <c r="K170" s="188"/>
      <c r="L170" s="363"/>
      <c r="M170" s="363"/>
      <c r="N170" s="363"/>
      <c r="O170" s="365"/>
      <c r="P170" s="365"/>
      <c r="Q170" s="188"/>
      <c r="R170" s="201"/>
      <c r="S170" s="201"/>
      <c r="T170" s="201"/>
      <c r="U170" s="188"/>
      <c r="Z170" s="60"/>
      <c r="AA170" s="60"/>
      <c r="AB170" s="60"/>
      <c r="AC170" s="60"/>
      <c r="AD170" s="60"/>
      <c r="AE170" s="60"/>
      <c r="AF170" s="60"/>
      <c r="AG170" s="60"/>
      <c r="AH170" s="60"/>
      <c r="AI170" s="60"/>
      <c r="AJ170" s="60"/>
      <c r="AR170" s="60"/>
      <c r="AS170" s="60"/>
      <c r="AT170" s="60"/>
      <c r="AU170" s="60"/>
      <c r="AV170" s="60"/>
      <c r="AW170" s="60"/>
      <c r="AX170" s="60"/>
      <c r="AY170" s="60"/>
    </row>
    <row r="171" spans="2:51" s="59" customFormat="1" ht="15" customHeight="1">
      <c r="B171" s="194"/>
      <c r="C171" s="183"/>
      <c r="D171" s="726"/>
      <c r="E171" s="726"/>
      <c r="F171" s="726"/>
      <c r="G171" s="726"/>
      <c r="H171" s="189"/>
      <c r="I171" s="189"/>
      <c r="J171" s="189"/>
      <c r="K171" s="195"/>
      <c r="L171" s="367"/>
      <c r="M171" s="367"/>
      <c r="N171" s="367"/>
      <c r="O171" s="368"/>
      <c r="P171" s="368"/>
      <c r="Q171" s="195"/>
      <c r="R171" s="196"/>
      <c r="S171" s="196"/>
      <c r="T171" s="196"/>
      <c r="U171" s="195"/>
      <c r="V171" s="183"/>
      <c r="Z171" s="60"/>
      <c r="AA171" s="60"/>
      <c r="AB171" s="60"/>
      <c r="AC171" s="60"/>
      <c r="AD171" s="60"/>
      <c r="AE171" s="60"/>
      <c r="AF171" s="60"/>
      <c r="AG171" s="60"/>
      <c r="AH171" s="60"/>
      <c r="AI171" s="60"/>
      <c r="AJ171" s="60"/>
      <c r="AR171" s="60"/>
      <c r="AS171" s="60"/>
      <c r="AT171" s="60"/>
      <c r="AU171" s="60"/>
      <c r="AV171" s="60"/>
      <c r="AW171" s="60"/>
      <c r="AX171" s="60"/>
      <c r="AY171" s="60"/>
    </row>
    <row r="172" spans="2:51" s="59" customFormat="1" ht="15" customHeight="1">
      <c r="B172" s="184"/>
      <c r="C172" s="185"/>
      <c r="D172" s="186"/>
      <c r="E172" s="197"/>
      <c r="F172" s="207"/>
      <c r="G172" s="198"/>
      <c r="H172" s="199"/>
      <c r="I172" s="199"/>
      <c r="J172" s="187"/>
      <c r="K172" s="200"/>
      <c r="L172" s="363"/>
      <c r="M172" s="369"/>
      <c r="N172" s="364"/>
      <c r="O172" s="727"/>
      <c r="P172" s="727"/>
      <c r="Q172" s="727"/>
      <c r="R172" s="201"/>
      <c r="S172" s="202"/>
      <c r="T172" s="187"/>
      <c r="U172" s="200"/>
      <c r="Z172" s="60"/>
      <c r="AA172" s="60"/>
      <c r="AB172" s="60"/>
      <c r="AC172" s="60"/>
      <c r="AD172" s="60"/>
      <c r="AE172" s="60"/>
      <c r="AF172" s="60"/>
      <c r="AG172" s="60"/>
      <c r="AH172" s="60"/>
      <c r="AI172" s="60"/>
      <c r="AJ172" s="60"/>
      <c r="AR172" s="60"/>
      <c r="AS172" s="60"/>
      <c r="AT172" s="60"/>
      <c r="AU172" s="60"/>
      <c r="AV172" s="60"/>
      <c r="AW172" s="60"/>
      <c r="AX172" s="60"/>
      <c r="AY172" s="60"/>
    </row>
    <row r="173" spans="2:51" s="59" customFormat="1" ht="15" customHeight="1">
      <c r="B173" s="184"/>
      <c r="D173" s="186"/>
      <c r="E173" s="197"/>
      <c r="F173" s="207"/>
      <c r="G173" s="198"/>
      <c r="H173" s="199"/>
      <c r="I173" s="199"/>
      <c r="J173" s="187"/>
      <c r="K173" s="200"/>
      <c r="L173" s="363"/>
      <c r="M173" s="369"/>
      <c r="N173" s="364"/>
      <c r="O173" s="727"/>
      <c r="P173" s="727"/>
      <c r="Q173" s="727"/>
      <c r="R173" s="201"/>
      <c r="S173" s="202"/>
      <c r="T173" s="187"/>
      <c r="U173" s="200"/>
      <c r="Z173" s="60"/>
      <c r="AA173" s="60"/>
      <c r="AB173" s="60"/>
      <c r="AC173" s="60"/>
      <c r="AD173" s="60"/>
      <c r="AE173" s="60"/>
      <c r="AF173" s="60"/>
      <c r="AG173" s="60"/>
      <c r="AH173" s="60"/>
      <c r="AI173" s="60"/>
      <c r="AJ173" s="60"/>
      <c r="AR173" s="60"/>
      <c r="AS173" s="60"/>
      <c r="AT173" s="60"/>
      <c r="AU173" s="60"/>
      <c r="AV173" s="60"/>
      <c r="AW173" s="60"/>
      <c r="AX173" s="60"/>
      <c r="AY173" s="60"/>
    </row>
    <row r="174" spans="2:51" s="59" customFormat="1" ht="15" customHeight="1">
      <c r="B174" s="184"/>
      <c r="D174" s="186"/>
      <c r="E174" s="197"/>
      <c r="F174" s="207"/>
      <c r="G174" s="198"/>
      <c r="H174" s="199"/>
      <c r="I174" s="199"/>
      <c r="J174" s="187"/>
      <c r="K174" s="200"/>
      <c r="L174" s="363"/>
      <c r="M174" s="369"/>
      <c r="N174" s="364"/>
      <c r="O174" s="727"/>
      <c r="P174" s="727"/>
      <c r="Q174" s="727"/>
      <c r="R174" s="201"/>
      <c r="S174" s="202"/>
      <c r="T174" s="187"/>
      <c r="U174" s="200"/>
      <c r="Z174" s="60"/>
      <c r="AA174" s="60"/>
      <c r="AB174" s="60"/>
      <c r="AC174" s="60"/>
      <c r="AD174" s="60"/>
      <c r="AE174" s="60"/>
      <c r="AF174" s="60"/>
      <c r="AG174" s="60"/>
      <c r="AH174" s="60"/>
      <c r="AI174" s="60"/>
      <c r="AJ174" s="60"/>
      <c r="AR174" s="60"/>
      <c r="AS174" s="60"/>
      <c r="AT174" s="60"/>
      <c r="AU174" s="60"/>
      <c r="AV174" s="60"/>
      <c r="AW174" s="60"/>
      <c r="AX174" s="60"/>
      <c r="AY174" s="60"/>
    </row>
    <row r="175" spans="2:51" s="59" customFormat="1" ht="15" customHeight="1">
      <c r="B175" s="184"/>
      <c r="D175" s="186"/>
      <c r="E175" s="197"/>
      <c r="F175" s="207"/>
      <c r="G175" s="198"/>
      <c r="H175" s="199"/>
      <c r="I175" s="199"/>
      <c r="J175" s="187"/>
      <c r="K175" s="200"/>
      <c r="L175" s="363"/>
      <c r="M175" s="369"/>
      <c r="N175" s="364"/>
      <c r="O175" s="727"/>
      <c r="P175" s="727"/>
      <c r="Q175" s="727"/>
      <c r="R175" s="201"/>
      <c r="S175" s="202"/>
      <c r="T175" s="187"/>
      <c r="U175" s="200"/>
      <c r="Z175" s="60"/>
      <c r="AA175" s="60"/>
      <c r="AB175" s="60"/>
      <c r="AC175" s="60"/>
      <c r="AD175" s="60"/>
      <c r="AE175" s="60"/>
      <c r="AF175" s="60"/>
      <c r="AG175" s="60"/>
      <c r="AH175" s="60"/>
      <c r="AI175" s="60"/>
      <c r="AJ175" s="60"/>
      <c r="AR175" s="60"/>
      <c r="AS175" s="60"/>
      <c r="AT175" s="60"/>
      <c r="AU175" s="60"/>
      <c r="AV175" s="60"/>
      <c r="AW175" s="60"/>
      <c r="AX175" s="60"/>
      <c r="AY175" s="60"/>
    </row>
    <row r="176" spans="2:51" s="59" customFormat="1" ht="15" customHeight="1">
      <c r="B176" s="184"/>
      <c r="D176" s="186"/>
      <c r="E176" s="197"/>
      <c r="F176" s="207"/>
      <c r="G176" s="198"/>
      <c r="H176" s="199"/>
      <c r="I176" s="199"/>
      <c r="J176" s="187"/>
      <c r="K176" s="200"/>
      <c r="L176" s="363"/>
      <c r="M176" s="369"/>
      <c r="N176" s="364"/>
      <c r="O176" s="727"/>
      <c r="P176" s="727"/>
      <c r="Q176" s="727"/>
      <c r="R176" s="201"/>
      <c r="S176" s="202"/>
      <c r="T176" s="187"/>
      <c r="U176" s="200"/>
      <c r="Z176" s="60"/>
      <c r="AA176" s="60"/>
      <c r="AB176" s="60"/>
      <c r="AC176" s="60"/>
      <c r="AD176" s="60"/>
      <c r="AE176" s="60"/>
      <c r="AF176" s="60"/>
      <c r="AG176" s="60"/>
      <c r="AH176" s="60"/>
      <c r="AI176" s="60"/>
      <c r="AJ176" s="60"/>
      <c r="AR176" s="60"/>
      <c r="AS176" s="60"/>
      <c r="AT176" s="60"/>
      <c r="AU176" s="60"/>
      <c r="AV176" s="60"/>
      <c r="AW176" s="60"/>
      <c r="AX176" s="60"/>
      <c r="AY176" s="60"/>
    </row>
    <row r="177" spans="2:51" s="59" customFormat="1" ht="15" customHeight="1">
      <c r="B177" s="184"/>
      <c r="D177" s="186"/>
      <c r="E177" s="197"/>
      <c r="F177" s="207"/>
      <c r="G177" s="198"/>
      <c r="H177" s="199"/>
      <c r="I177" s="199"/>
      <c r="J177" s="187"/>
      <c r="K177" s="200"/>
      <c r="L177" s="363"/>
      <c r="M177" s="369"/>
      <c r="N177" s="364"/>
      <c r="O177" s="727"/>
      <c r="P177" s="727"/>
      <c r="Q177" s="727"/>
      <c r="R177" s="201"/>
      <c r="S177" s="202"/>
      <c r="T177" s="187"/>
      <c r="U177" s="200"/>
      <c r="Z177" s="60"/>
      <c r="AA177" s="60"/>
      <c r="AB177" s="60"/>
      <c r="AC177" s="60"/>
      <c r="AD177" s="60"/>
      <c r="AE177" s="60"/>
      <c r="AF177" s="60"/>
      <c r="AG177" s="60"/>
      <c r="AH177" s="60"/>
      <c r="AI177" s="60"/>
      <c r="AJ177" s="60"/>
      <c r="AR177" s="60"/>
      <c r="AS177" s="60"/>
      <c r="AT177" s="60"/>
      <c r="AU177" s="60"/>
      <c r="AV177" s="60"/>
      <c r="AW177" s="60"/>
      <c r="AX177" s="60"/>
      <c r="AY177" s="60"/>
    </row>
    <row r="178" spans="2:51" s="59" customFormat="1" ht="15" customHeight="1">
      <c r="B178" s="184"/>
      <c r="D178" s="186"/>
      <c r="E178" s="197"/>
      <c r="F178" s="207"/>
      <c r="G178" s="198"/>
      <c r="H178" s="199"/>
      <c r="I178" s="199"/>
      <c r="J178" s="187"/>
      <c r="K178" s="200"/>
      <c r="L178" s="363"/>
      <c r="M178" s="369"/>
      <c r="N178" s="364"/>
      <c r="O178" s="727"/>
      <c r="P178" s="727"/>
      <c r="Q178" s="727"/>
      <c r="R178" s="201"/>
      <c r="S178" s="202"/>
      <c r="T178" s="187"/>
      <c r="U178" s="200"/>
      <c r="Z178" s="60"/>
      <c r="AA178" s="60"/>
      <c r="AB178" s="60"/>
      <c r="AC178" s="60"/>
      <c r="AD178" s="60"/>
      <c r="AE178" s="60"/>
      <c r="AF178" s="60"/>
      <c r="AG178" s="60"/>
      <c r="AH178" s="60"/>
      <c r="AI178" s="60"/>
      <c r="AJ178" s="60"/>
      <c r="AR178" s="60"/>
      <c r="AS178" s="60"/>
      <c r="AT178" s="60"/>
      <c r="AU178" s="60"/>
      <c r="AV178" s="60"/>
      <c r="AW178" s="60"/>
      <c r="AX178" s="60"/>
      <c r="AY178" s="60"/>
    </row>
    <row r="179" spans="2:51" s="59" customFormat="1" ht="15" customHeight="1">
      <c r="B179" s="184"/>
      <c r="D179" s="186"/>
      <c r="E179" s="197"/>
      <c r="F179" s="207"/>
      <c r="G179" s="198"/>
      <c r="H179" s="199"/>
      <c r="I179" s="199"/>
      <c r="J179" s="187"/>
      <c r="K179" s="200"/>
      <c r="L179" s="363"/>
      <c r="M179" s="369"/>
      <c r="N179" s="364"/>
      <c r="O179" s="727"/>
      <c r="P179" s="727"/>
      <c r="Q179" s="727"/>
      <c r="R179" s="201"/>
      <c r="S179" s="202"/>
      <c r="T179" s="187"/>
      <c r="U179" s="200"/>
      <c r="Z179" s="60"/>
      <c r="AA179" s="60"/>
      <c r="AB179" s="60"/>
      <c r="AC179" s="60"/>
      <c r="AD179" s="60"/>
      <c r="AE179" s="60"/>
      <c r="AF179" s="60"/>
      <c r="AG179" s="60"/>
      <c r="AH179" s="60"/>
      <c r="AI179" s="60"/>
      <c r="AJ179" s="60"/>
      <c r="AR179" s="60"/>
      <c r="AS179" s="60"/>
      <c r="AT179" s="60"/>
      <c r="AU179" s="60"/>
      <c r="AV179" s="60"/>
      <c r="AW179" s="60"/>
      <c r="AX179" s="60"/>
      <c r="AY179" s="60"/>
    </row>
    <row r="180" spans="2:51" s="59" customFormat="1" ht="15" customHeight="1">
      <c r="B180" s="184"/>
      <c r="D180" s="186"/>
      <c r="E180" s="197"/>
      <c r="F180" s="207"/>
      <c r="G180" s="198"/>
      <c r="H180" s="199"/>
      <c r="I180" s="199"/>
      <c r="J180" s="187"/>
      <c r="K180" s="200"/>
      <c r="L180" s="363"/>
      <c r="M180" s="369"/>
      <c r="N180" s="364"/>
      <c r="O180" s="727"/>
      <c r="P180" s="727"/>
      <c r="Q180" s="727"/>
      <c r="R180" s="201"/>
      <c r="S180" s="202"/>
      <c r="T180" s="187"/>
      <c r="U180" s="200"/>
      <c r="Z180" s="60"/>
      <c r="AA180" s="60"/>
      <c r="AB180" s="60"/>
      <c r="AC180" s="60"/>
      <c r="AD180" s="60"/>
      <c r="AE180" s="60"/>
      <c r="AF180" s="60"/>
      <c r="AG180" s="60"/>
      <c r="AH180" s="60"/>
      <c r="AI180" s="60"/>
      <c r="AJ180" s="60"/>
      <c r="AR180" s="60"/>
      <c r="AS180" s="60"/>
      <c r="AT180" s="60"/>
      <c r="AU180" s="60"/>
      <c r="AV180" s="60"/>
      <c r="AW180" s="60"/>
      <c r="AX180" s="60"/>
      <c r="AY180" s="60"/>
    </row>
    <row r="181" spans="2:51" s="59" customFormat="1" ht="15" customHeight="1">
      <c r="B181" s="184"/>
      <c r="D181" s="186"/>
      <c r="E181" s="197"/>
      <c r="F181" s="207"/>
      <c r="G181" s="198"/>
      <c r="H181" s="199"/>
      <c r="I181" s="199"/>
      <c r="J181" s="187"/>
      <c r="K181" s="200"/>
      <c r="L181" s="363"/>
      <c r="M181" s="369"/>
      <c r="N181" s="364"/>
      <c r="O181" s="727"/>
      <c r="P181" s="727"/>
      <c r="Q181" s="727"/>
      <c r="R181" s="201"/>
      <c r="S181" s="202"/>
      <c r="T181" s="187"/>
      <c r="U181" s="200"/>
      <c r="Z181" s="60"/>
      <c r="AA181" s="60"/>
      <c r="AB181" s="60"/>
      <c r="AC181" s="60"/>
      <c r="AD181" s="60"/>
      <c r="AE181" s="60"/>
      <c r="AF181" s="60"/>
      <c r="AG181" s="60"/>
      <c r="AH181" s="60"/>
      <c r="AI181" s="60"/>
      <c r="AJ181" s="60"/>
      <c r="AR181" s="60"/>
      <c r="AS181" s="60"/>
      <c r="AT181" s="60"/>
      <c r="AU181" s="60"/>
      <c r="AV181" s="60"/>
      <c r="AW181" s="60"/>
      <c r="AX181" s="60"/>
      <c r="AY181" s="60"/>
    </row>
    <row r="182" spans="2:51" s="59" customFormat="1" ht="15" customHeight="1">
      <c r="B182" s="184"/>
      <c r="D182" s="186"/>
      <c r="E182" s="197"/>
      <c r="F182" s="207"/>
      <c r="G182" s="198"/>
      <c r="H182" s="199"/>
      <c r="I182" s="199"/>
      <c r="J182" s="187"/>
      <c r="K182" s="200"/>
      <c r="L182" s="363"/>
      <c r="M182" s="369"/>
      <c r="N182" s="364"/>
      <c r="O182" s="727"/>
      <c r="P182" s="727"/>
      <c r="Q182" s="727"/>
      <c r="R182" s="201"/>
      <c r="S182" s="202"/>
      <c r="T182" s="187"/>
      <c r="U182" s="200"/>
      <c r="Z182" s="60"/>
      <c r="AA182" s="60"/>
      <c r="AB182" s="60"/>
      <c r="AC182" s="60"/>
      <c r="AD182" s="60"/>
      <c r="AE182" s="60"/>
      <c r="AF182" s="60"/>
      <c r="AG182" s="60"/>
      <c r="AH182" s="60"/>
      <c r="AI182" s="60"/>
      <c r="AJ182" s="60"/>
      <c r="AR182" s="60"/>
      <c r="AS182" s="60"/>
      <c r="AT182" s="60"/>
      <c r="AU182" s="60"/>
      <c r="AV182" s="60"/>
      <c r="AW182" s="60"/>
      <c r="AX182" s="60"/>
      <c r="AY182" s="60"/>
    </row>
    <row r="183" spans="2:51" s="59" customFormat="1" ht="15" customHeight="1">
      <c r="B183" s="184"/>
      <c r="D183" s="186"/>
      <c r="E183" s="197"/>
      <c r="F183" s="207"/>
      <c r="G183" s="198"/>
      <c r="H183" s="199"/>
      <c r="I183" s="199"/>
      <c r="J183" s="187"/>
      <c r="K183" s="200"/>
      <c r="L183" s="363"/>
      <c r="M183" s="369"/>
      <c r="N183" s="364"/>
      <c r="O183" s="727"/>
      <c r="P183" s="727"/>
      <c r="Q183" s="727"/>
      <c r="R183" s="201"/>
      <c r="S183" s="202"/>
      <c r="T183" s="187"/>
      <c r="U183" s="200"/>
      <c r="Z183" s="60"/>
      <c r="AA183" s="60"/>
      <c r="AB183" s="60"/>
      <c r="AC183" s="60"/>
      <c r="AD183" s="60"/>
      <c r="AE183" s="60"/>
      <c r="AF183" s="60"/>
      <c r="AG183" s="60"/>
      <c r="AH183" s="60"/>
      <c r="AI183" s="60"/>
      <c r="AJ183" s="60"/>
      <c r="AR183" s="60"/>
      <c r="AS183" s="60"/>
      <c r="AT183" s="60"/>
      <c r="AU183" s="60"/>
      <c r="AV183" s="60"/>
      <c r="AW183" s="60"/>
      <c r="AX183" s="60"/>
      <c r="AY183" s="60"/>
    </row>
    <row r="184" spans="2:51" s="59" customFormat="1" ht="15" customHeight="1">
      <c r="B184" s="203"/>
      <c r="D184" s="186"/>
      <c r="E184" s="197"/>
      <c r="F184" s="207"/>
      <c r="G184" s="198"/>
      <c r="H184" s="199"/>
      <c r="I184" s="199"/>
      <c r="J184" s="187"/>
      <c r="K184" s="200"/>
      <c r="L184" s="363"/>
      <c r="M184" s="369"/>
      <c r="N184" s="364"/>
      <c r="O184" s="727"/>
      <c r="P184" s="727"/>
      <c r="Q184" s="727"/>
      <c r="R184" s="201"/>
      <c r="S184" s="202"/>
      <c r="T184" s="187"/>
      <c r="U184" s="200"/>
      <c r="Z184" s="60"/>
      <c r="AA184" s="60"/>
      <c r="AB184" s="60"/>
      <c r="AC184" s="60"/>
      <c r="AD184" s="60"/>
      <c r="AE184" s="60"/>
      <c r="AF184" s="60"/>
      <c r="AG184" s="60"/>
      <c r="AH184" s="60"/>
      <c r="AI184" s="60"/>
      <c r="AJ184" s="60"/>
      <c r="AR184" s="60"/>
      <c r="AS184" s="60"/>
      <c r="AT184" s="60"/>
      <c r="AU184" s="60"/>
      <c r="AV184" s="60"/>
      <c r="AW184" s="60"/>
      <c r="AX184" s="60"/>
      <c r="AY184" s="60"/>
    </row>
    <row r="185" spans="2:51" s="59" customFormat="1" ht="15" customHeight="1">
      <c r="B185" s="203"/>
      <c r="D185" s="186"/>
      <c r="E185" s="197"/>
      <c r="F185" s="207"/>
      <c r="G185" s="198"/>
      <c r="H185" s="199"/>
      <c r="I185" s="199"/>
      <c r="J185" s="187"/>
      <c r="K185" s="200"/>
      <c r="L185" s="363"/>
      <c r="M185" s="369"/>
      <c r="N185" s="364"/>
      <c r="O185" s="727"/>
      <c r="P185" s="727"/>
      <c r="Q185" s="727"/>
      <c r="R185" s="201"/>
      <c r="S185" s="202"/>
      <c r="T185" s="187"/>
      <c r="U185" s="200"/>
      <c r="Z185" s="60"/>
      <c r="AA185" s="60"/>
      <c r="AB185" s="60"/>
      <c r="AC185" s="60"/>
      <c r="AD185" s="60"/>
      <c r="AE185" s="60"/>
      <c r="AF185" s="60"/>
      <c r="AG185" s="60"/>
      <c r="AH185" s="60"/>
      <c r="AI185" s="60"/>
      <c r="AJ185" s="60"/>
      <c r="AR185" s="60"/>
      <c r="AS185" s="60"/>
      <c r="AT185" s="60"/>
      <c r="AU185" s="60"/>
      <c r="AV185" s="60"/>
      <c r="AW185" s="60"/>
      <c r="AX185" s="60"/>
      <c r="AY185" s="60"/>
    </row>
    <row r="186" spans="2:51" s="59" customFormat="1" ht="15" customHeight="1">
      <c r="B186" s="203"/>
      <c r="D186" s="186"/>
      <c r="E186" s="197"/>
      <c r="F186" s="207"/>
      <c r="G186" s="198"/>
      <c r="H186" s="199"/>
      <c r="I186" s="199"/>
      <c r="J186" s="187"/>
      <c r="K186" s="200"/>
      <c r="L186" s="363"/>
      <c r="M186" s="369"/>
      <c r="N186" s="364"/>
      <c r="O186" s="727"/>
      <c r="P186" s="727"/>
      <c r="Q186" s="727"/>
      <c r="R186" s="201"/>
      <c r="S186" s="202"/>
      <c r="T186" s="187"/>
      <c r="U186" s="200"/>
      <c r="Z186" s="60"/>
      <c r="AA186" s="60"/>
      <c r="AB186" s="60"/>
      <c r="AC186" s="60"/>
      <c r="AD186" s="60"/>
      <c r="AE186" s="60"/>
      <c r="AF186" s="60"/>
      <c r="AG186" s="60"/>
      <c r="AH186" s="60"/>
      <c r="AI186" s="60"/>
      <c r="AJ186" s="60"/>
      <c r="AR186" s="60"/>
      <c r="AS186" s="60"/>
      <c r="AT186" s="60"/>
      <c r="AU186" s="60"/>
      <c r="AV186" s="60"/>
      <c r="AW186" s="60"/>
      <c r="AX186" s="60"/>
      <c r="AY186" s="60"/>
    </row>
    <row r="187" spans="2:51" s="59" customFormat="1" ht="15" customHeight="1">
      <c r="B187" s="203"/>
      <c r="D187" s="186"/>
      <c r="E187" s="197"/>
      <c r="F187" s="207"/>
      <c r="G187" s="198"/>
      <c r="H187" s="199"/>
      <c r="I187" s="199"/>
      <c r="J187" s="187"/>
      <c r="K187" s="200"/>
      <c r="L187" s="363"/>
      <c r="M187" s="369"/>
      <c r="N187" s="364"/>
      <c r="O187" s="727"/>
      <c r="P187" s="727"/>
      <c r="Q187" s="727"/>
      <c r="R187" s="201"/>
      <c r="S187" s="202"/>
      <c r="T187" s="187"/>
      <c r="U187" s="200"/>
      <c r="Z187" s="60"/>
      <c r="AA187" s="60"/>
      <c r="AB187" s="60"/>
      <c r="AC187" s="60"/>
      <c r="AD187" s="60"/>
      <c r="AE187" s="60"/>
      <c r="AF187" s="60"/>
      <c r="AG187" s="60"/>
      <c r="AH187" s="60"/>
      <c r="AI187" s="60"/>
      <c r="AJ187" s="60"/>
      <c r="AR187" s="60"/>
      <c r="AS187" s="60"/>
      <c r="AT187" s="60"/>
      <c r="AU187" s="60"/>
      <c r="AV187" s="60"/>
      <c r="AW187" s="60"/>
      <c r="AX187" s="60"/>
      <c r="AY187" s="60"/>
    </row>
    <row r="188" spans="2:51" s="59" customFormat="1" ht="15" customHeight="1">
      <c r="B188" s="203"/>
      <c r="D188" s="186"/>
      <c r="E188" s="197"/>
      <c r="F188" s="207"/>
      <c r="G188" s="198"/>
      <c r="H188" s="199"/>
      <c r="I188" s="199"/>
      <c r="J188" s="187"/>
      <c r="K188" s="200"/>
      <c r="L188" s="363"/>
      <c r="M188" s="369"/>
      <c r="N188" s="364"/>
      <c r="O188" s="727"/>
      <c r="P188" s="727"/>
      <c r="Q188" s="727"/>
      <c r="R188" s="201"/>
      <c r="S188" s="202"/>
      <c r="T188" s="187"/>
      <c r="U188" s="200"/>
      <c r="Z188" s="60"/>
      <c r="AA188" s="60"/>
      <c r="AB188" s="60"/>
      <c r="AC188" s="60"/>
      <c r="AD188" s="60"/>
      <c r="AE188" s="60"/>
      <c r="AF188" s="60"/>
      <c r="AG188" s="60"/>
      <c r="AH188" s="60"/>
      <c r="AI188" s="60"/>
      <c r="AJ188" s="60"/>
      <c r="AR188" s="60"/>
      <c r="AS188" s="60"/>
      <c r="AT188" s="60"/>
      <c r="AU188" s="60"/>
      <c r="AV188" s="60"/>
      <c r="AW188" s="60"/>
      <c r="AX188" s="60"/>
      <c r="AY188" s="60"/>
    </row>
    <row r="189" spans="2:51" s="59" customFormat="1" ht="15" customHeight="1">
      <c r="B189" s="203"/>
      <c r="D189" s="186"/>
      <c r="E189" s="197"/>
      <c r="F189" s="207"/>
      <c r="G189" s="198"/>
      <c r="H189" s="199"/>
      <c r="I189" s="199"/>
      <c r="J189" s="187"/>
      <c r="K189" s="200"/>
      <c r="L189" s="363"/>
      <c r="M189" s="369"/>
      <c r="N189" s="364"/>
      <c r="O189" s="727"/>
      <c r="P189" s="727"/>
      <c r="Q189" s="727"/>
      <c r="R189" s="201"/>
      <c r="S189" s="202"/>
      <c r="T189" s="187"/>
      <c r="U189" s="200"/>
      <c r="Z189" s="60"/>
      <c r="AA189" s="60"/>
      <c r="AB189" s="60"/>
      <c r="AC189" s="60"/>
      <c r="AD189" s="60"/>
      <c r="AE189" s="60"/>
      <c r="AF189" s="60"/>
      <c r="AG189" s="60"/>
      <c r="AH189" s="60"/>
      <c r="AI189" s="60"/>
      <c r="AJ189" s="60"/>
      <c r="AR189" s="60"/>
      <c r="AS189" s="60"/>
      <c r="AT189" s="60"/>
      <c r="AU189" s="60"/>
      <c r="AV189" s="60"/>
      <c r="AW189" s="60"/>
      <c r="AX189" s="60"/>
      <c r="AY189" s="60"/>
    </row>
    <row r="190" spans="2:51" s="59" customFormat="1" ht="15" customHeight="1">
      <c r="B190" s="203"/>
      <c r="D190" s="186"/>
      <c r="E190" s="197"/>
      <c r="F190" s="207"/>
      <c r="G190" s="198"/>
      <c r="H190" s="199"/>
      <c r="I190" s="199"/>
      <c r="J190" s="187"/>
      <c r="K190" s="200"/>
      <c r="L190" s="363"/>
      <c r="M190" s="369"/>
      <c r="N190" s="364"/>
      <c r="O190" s="727"/>
      <c r="P190" s="727"/>
      <c r="Q190" s="727"/>
      <c r="R190" s="201"/>
      <c r="S190" s="202"/>
      <c r="T190" s="187"/>
      <c r="U190" s="200"/>
      <c r="Z190" s="60"/>
      <c r="AA190" s="60"/>
      <c r="AB190" s="60"/>
      <c r="AC190" s="60"/>
      <c r="AD190" s="60"/>
      <c r="AE190" s="60"/>
      <c r="AF190" s="60"/>
      <c r="AG190" s="60"/>
      <c r="AH190" s="60"/>
      <c r="AI190" s="60"/>
      <c r="AJ190" s="60"/>
      <c r="AR190" s="60"/>
      <c r="AS190" s="60"/>
      <c r="AT190" s="60"/>
      <c r="AU190" s="60"/>
      <c r="AV190" s="60"/>
      <c r="AW190" s="60"/>
      <c r="AX190" s="60"/>
      <c r="AY190" s="60"/>
    </row>
    <row r="191" spans="2:51" s="59" customFormat="1" ht="15" customHeight="1">
      <c r="B191" s="203"/>
      <c r="D191" s="186"/>
      <c r="E191" s="197"/>
      <c r="F191" s="207"/>
      <c r="G191" s="198"/>
      <c r="H191" s="199"/>
      <c r="I191" s="199"/>
      <c r="J191" s="187"/>
      <c r="K191" s="200"/>
      <c r="L191" s="363"/>
      <c r="M191" s="369"/>
      <c r="N191" s="364"/>
      <c r="O191" s="727"/>
      <c r="P191" s="727"/>
      <c r="Q191" s="727"/>
      <c r="R191" s="201"/>
      <c r="S191" s="202"/>
      <c r="T191" s="187"/>
      <c r="U191" s="20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R191" s="60"/>
      <c r="AS191" s="60"/>
      <c r="AT191" s="60"/>
      <c r="AU191" s="60"/>
      <c r="AV191" s="60"/>
      <c r="AW191" s="60"/>
      <c r="AX191" s="60"/>
      <c r="AY191" s="60"/>
    </row>
    <row r="192" spans="2:51" s="59" customFormat="1" ht="15" customHeight="1">
      <c r="B192" s="203"/>
      <c r="D192" s="186"/>
      <c r="E192" s="197"/>
      <c r="F192" s="207"/>
      <c r="G192" s="198"/>
      <c r="H192" s="199"/>
      <c r="I192" s="199"/>
      <c r="J192" s="187"/>
      <c r="K192" s="200"/>
      <c r="L192" s="363"/>
      <c r="M192" s="369"/>
      <c r="N192" s="364"/>
      <c r="O192" s="727"/>
      <c r="P192" s="727"/>
      <c r="Q192" s="727"/>
      <c r="R192" s="201"/>
      <c r="S192" s="202"/>
      <c r="T192" s="187"/>
      <c r="U192" s="200"/>
      <c r="Z192" s="60"/>
      <c r="AA192" s="60"/>
      <c r="AB192" s="60"/>
      <c r="AC192" s="60"/>
      <c r="AD192" s="60"/>
      <c r="AE192" s="60"/>
      <c r="AF192" s="60"/>
      <c r="AG192" s="60"/>
      <c r="AH192" s="60"/>
      <c r="AI192" s="60"/>
      <c r="AJ192" s="60"/>
      <c r="AR192" s="60"/>
      <c r="AS192" s="60"/>
      <c r="AT192" s="60"/>
      <c r="AU192" s="60"/>
      <c r="AV192" s="60"/>
      <c r="AW192" s="60"/>
      <c r="AX192" s="60"/>
      <c r="AY192" s="60"/>
    </row>
    <row r="193" spans="2:51" s="59" customFormat="1" ht="15" customHeight="1">
      <c r="B193" s="203"/>
      <c r="D193" s="186"/>
      <c r="E193" s="197"/>
      <c r="F193" s="207"/>
      <c r="G193" s="198"/>
      <c r="H193" s="199"/>
      <c r="I193" s="199"/>
      <c r="J193" s="187"/>
      <c r="K193" s="200"/>
      <c r="L193" s="363"/>
      <c r="M193" s="369"/>
      <c r="N193" s="364"/>
      <c r="O193" s="727"/>
      <c r="P193" s="727"/>
      <c r="Q193" s="727"/>
      <c r="R193" s="201"/>
      <c r="S193" s="202"/>
      <c r="T193" s="187"/>
      <c r="U193" s="200"/>
      <c r="Z193" s="60"/>
      <c r="AA193" s="60"/>
      <c r="AB193" s="60"/>
      <c r="AC193" s="60"/>
      <c r="AD193" s="60"/>
      <c r="AE193" s="60"/>
      <c r="AF193" s="60"/>
      <c r="AG193" s="60"/>
      <c r="AH193" s="60"/>
      <c r="AI193" s="60"/>
      <c r="AJ193" s="60"/>
      <c r="AR193" s="60"/>
      <c r="AS193" s="60"/>
      <c r="AT193" s="60"/>
      <c r="AU193" s="60"/>
      <c r="AV193" s="60"/>
      <c r="AW193" s="60"/>
      <c r="AX193" s="60"/>
      <c r="AY193" s="60"/>
    </row>
    <row r="194" spans="2:51" s="59" customFormat="1" ht="15" customHeight="1">
      <c r="B194" s="203"/>
      <c r="D194" s="186"/>
      <c r="E194" s="197"/>
      <c r="F194" s="207"/>
      <c r="G194" s="198"/>
      <c r="H194" s="199"/>
      <c r="I194" s="199"/>
      <c r="J194" s="187"/>
      <c r="K194" s="200"/>
      <c r="L194" s="363"/>
      <c r="M194" s="369"/>
      <c r="N194" s="364"/>
      <c r="O194" s="727"/>
      <c r="P194" s="727"/>
      <c r="Q194" s="727"/>
      <c r="R194" s="201"/>
      <c r="S194" s="202"/>
      <c r="T194" s="187"/>
      <c r="U194" s="200"/>
      <c r="Z194" s="60"/>
      <c r="AA194" s="60"/>
      <c r="AB194" s="60"/>
      <c r="AC194" s="60"/>
      <c r="AD194" s="60"/>
      <c r="AE194" s="60"/>
      <c r="AF194" s="60"/>
      <c r="AG194" s="60"/>
      <c r="AH194" s="60"/>
      <c r="AI194" s="60"/>
      <c r="AJ194" s="60"/>
      <c r="AR194" s="60"/>
      <c r="AS194" s="60"/>
      <c r="AT194" s="60"/>
      <c r="AU194" s="60"/>
      <c r="AV194" s="60"/>
      <c r="AW194" s="60"/>
      <c r="AX194" s="60"/>
      <c r="AY194" s="60"/>
    </row>
    <row r="195" spans="2:51" s="59" customFormat="1" ht="15" customHeight="1">
      <c r="B195" s="203"/>
      <c r="D195" s="186"/>
      <c r="E195" s="197"/>
      <c r="F195" s="207"/>
      <c r="G195" s="198"/>
      <c r="H195" s="199"/>
      <c r="I195" s="199"/>
      <c r="J195" s="187"/>
      <c r="K195" s="200"/>
      <c r="L195" s="363"/>
      <c r="M195" s="369"/>
      <c r="N195" s="364"/>
      <c r="O195" s="727"/>
      <c r="P195" s="727"/>
      <c r="Q195" s="727"/>
      <c r="R195" s="201"/>
      <c r="S195" s="202"/>
      <c r="T195" s="187"/>
      <c r="U195" s="200"/>
      <c r="Z195" s="60"/>
      <c r="AA195" s="60"/>
      <c r="AB195" s="60"/>
      <c r="AC195" s="60"/>
      <c r="AD195" s="60"/>
      <c r="AE195" s="60"/>
      <c r="AF195" s="60"/>
      <c r="AG195" s="60"/>
      <c r="AH195" s="60"/>
      <c r="AI195" s="60"/>
      <c r="AJ195" s="60"/>
      <c r="AR195" s="60"/>
      <c r="AS195" s="60"/>
      <c r="AT195" s="60"/>
      <c r="AU195" s="60"/>
      <c r="AV195" s="60"/>
      <c r="AW195" s="60"/>
      <c r="AX195" s="60"/>
      <c r="AY195" s="60"/>
    </row>
    <row r="196" spans="2:51" s="59" customFormat="1" ht="15" customHeight="1">
      <c r="B196" s="203"/>
      <c r="D196" s="186"/>
      <c r="E196" s="197"/>
      <c r="F196" s="207"/>
      <c r="G196" s="198"/>
      <c r="H196" s="199"/>
      <c r="I196" s="199"/>
      <c r="J196" s="187"/>
      <c r="K196" s="200"/>
      <c r="L196" s="363"/>
      <c r="M196" s="369"/>
      <c r="N196" s="364"/>
      <c r="O196" s="727"/>
      <c r="P196" s="727"/>
      <c r="Q196" s="727"/>
      <c r="R196" s="201"/>
      <c r="S196" s="202"/>
      <c r="T196" s="187"/>
      <c r="U196" s="200"/>
      <c r="Z196" s="60"/>
      <c r="AA196" s="60"/>
      <c r="AB196" s="60"/>
      <c r="AC196" s="60"/>
      <c r="AD196" s="60"/>
      <c r="AE196" s="60"/>
      <c r="AF196" s="60"/>
      <c r="AG196" s="60"/>
      <c r="AH196" s="60"/>
      <c r="AI196" s="60"/>
      <c r="AJ196" s="60"/>
      <c r="AR196" s="60"/>
      <c r="AS196" s="60"/>
      <c r="AT196" s="60"/>
      <c r="AU196" s="60"/>
      <c r="AV196" s="60"/>
      <c r="AW196" s="60"/>
      <c r="AX196" s="60"/>
      <c r="AY196" s="60"/>
    </row>
    <row r="197" spans="2:51" s="59" customFormat="1" ht="15" customHeight="1">
      <c r="B197" s="203"/>
      <c r="D197" s="186"/>
      <c r="E197" s="197"/>
      <c r="F197" s="207"/>
      <c r="G197" s="198"/>
      <c r="H197" s="199"/>
      <c r="I197" s="199"/>
      <c r="J197" s="187"/>
      <c r="K197" s="200"/>
      <c r="L197" s="363"/>
      <c r="M197" s="369"/>
      <c r="N197" s="364"/>
      <c r="O197" s="727"/>
      <c r="P197" s="727"/>
      <c r="Q197" s="727"/>
      <c r="R197" s="201"/>
      <c r="S197" s="202"/>
      <c r="T197" s="187"/>
      <c r="U197" s="200"/>
      <c r="Z197" s="60"/>
      <c r="AA197" s="60"/>
      <c r="AB197" s="60"/>
      <c r="AC197" s="60"/>
      <c r="AD197" s="60"/>
      <c r="AE197" s="60"/>
      <c r="AF197" s="60"/>
      <c r="AG197" s="60"/>
      <c r="AH197" s="60"/>
      <c r="AI197" s="60"/>
      <c r="AJ197" s="60"/>
      <c r="AR197" s="60"/>
      <c r="AS197" s="60"/>
      <c r="AT197" s="60"/>
      <c r="AU197" s="60"/>
      <c r="AV197" s="60"/>
      <c r="AW197" s="60"/>
      <c r="AX197" s="60"/>
      <c r="AY197" s="60"/>
    </row>
    <row r="198" spans="2:51" s="59" customFormat="1" ht="15" customHeight="1">
      <c r="B198" s="203"/>
      <c r="D198" s="186"/>
      <c r="E198" s="197"/>
      <c r="F198" s="207"/>
      <c r="G198" s="198"/>
      <c r="H198" s="199"/>
      <c r="I198" s="199"/>
      <c r="J198" s="187"/>
      <c r="K198" s="200"/>
      <c r="L198" s="363"/>
      <c r="M198" s="369"/>
      <c r="N198" s="364"/>
      <c r="O198" s="727"/>
      <c r="P198" s="727"/>
      <c r="Q198" s="727"/>
      <c r="R198" s="201"/>
      <c r="S198" s="202"/>
      <c r="T198" s="187"/>
      <c r="U198" s="200"/>
      <c r="Z198" s="60"/>
      <c r="AA198" s="60"/>
      <c r="AB198" s="60"/>
      <c r="AC198" s="60"/>
      <c r="AD198" s="60"/>
      <c r="AE198" s="60"/>
      <c r="AF198" s="60"/>
      <c r="AG198" s="60"/>
      <c r="AH198" s="60"/>
      <c r="AI198" s="60"/>
      <c r="AJ198" s="60"/>
      <c r="AR198" s="60"/>
      <c r="AS198" s="60"/>
      <c r="AT198" s="60"/>
      <c r="AU198" s="60"/>
      <c r="AV198" s="60"/>
      <c r="AW198" s="60"/>
      <c r="AX198" s="60"/>
      <c r="AY198" s="60"/>
    </row>
    <row r="199" spans="2:51" s="59" customFormat="1" ht="15" customHeight="1">
      <c r="B199" s="203"/>
      <c r="D199" s="186"/>
      <c r="E199" s="197"/>
      <c r="F199" s="207"/>
      <c r="G199" s="198"/>
      <c r="H199" s="199"/>
      <c r="I199" s="199"/>
      <c r="J199" s="187"/>
      <c r="K199" s="200"/>
      <c r="L199" s="363"/>
      <c r="M199" s="369"/>
      <c r="N199" s="364"/>
      <c r="O199" s="727"/>
      <c r="P199" s="727"/>
      <c r="Q199" s="727"/>
      <c r="R199" s="201"/>
      <c r="S199" s="202"/>
      <c r="T199" s="187"/>
      <c r="U199" s="200"/>
      <c r="Z199" s="60"/>
      <c r="AA199" s="60"/>
      <c r="AB199" s="60"/>
      <c r="AC199" s="60"/>
      <c r="AD199" s="60"/>
      <c r="AE199" s="60"/>
      <c r="AF199" s="60"/>
      <c r="AG199" s="60"/>
      <c r="AH199" s="60"/>
      <c r="AI199" s="60"/>
      <c r="AJ199" s="60"/>
      <c r="AR199" s="60"/>
      <c r="AS199" s="60"/>
      <c r="AT199" s="60"/>
      <c r="AU199" s="60"/>
      <c r="AV199" s="60"/>
      <c r="AW199" s="60"/>
      <c r="AX199" s="60"/>
      <c r="AY199" s="60"/>
    </row>
    <row r="200" spans="2:51" s="183" customFormat="1" ht="15" customHeight="1">
      <c r="B200" s="203"/>
      <c r="C200" s="59"/>
      <c r="D200" s="186"/>
      <c r="E200" s="197"/>
      <c r="F200" s="207"/>
      <c r="G200" s="198"/>
      <c r="H200" s="199"/>
      <c r="I200" s="199"/>
      <c r="J200" s="187"/>
      <c r="K200" s="200"/>
      <c r="L200" s="363"/>
      <c r="M200" s="369"/>
      <c r="N200" s="364"/>
      <c r="O200" s="727"/>
      <c r="P200" s="727"/>
      <c r="Q200" s="727"/>
      <c r="R200" s="201"/>
      <c r="S200" s="202"/>
      <c r="T200" s="187"/>
      <c r="U200" s="200"/>
      <c r="V200" s="59"/>
      <c r="Z200" s="108"/>
      <c r="AA200" s="60"/>
      <c r="AB200" s="60"/>
      <c r="AC200" s="60"/>
      <c r="AD200" s="60"/>
      <c r="AE200" s="60"/>
      <c r="AF200" s="60"/>
      <c r="AG200" s="60"/>
      <c r="AH200" s="60"/>
      <c r="AI200" s="108"/>
      <c r="AJ200" s="108"/>
      <c r="AK200" s="204"/>
      <c r="AL200" s="204"/>
      <c r="AM200" s="204"/>
      <c r="AN200" s="204"/>
      <c r="AO200" s="204"/>
      <c r="AP200" s="204"/>
      <c r="AR200" s="108"/>
      <c r="AS200" s="108"/>
      <c r="AT200" s="108"/>
      <c r="AU200" s="108"/>
      <c r="AV200" s="108"/>
      <c r="AW200" s="108"/>
      <c r="AX200" s="108"/>
      <c r="AY200" s="108"/>
    </row>
    <row r="201" spans="2:51" s="59" customFormat="1" ht="15" customHeight="1">
      <c r="B201" s="203"/>
      <c r="D201" s="186"/>
      <c r="E201" s="197"/>
      <c r="F201" s="207"/>
      <c r="G201" s="198"/>
      <c r="H201" s="199"/>
      <c r="I201" s="199"/>
      <c r="J201" s="187"/>
      <c r="K201" s="200"/>
      <c r="L201" s="363"/>
      <c r="M201" s="369"/>
      <c r="N201" s="364"/>
      <c r="O201" s="727"/>
      <c r="P201" s="727"/>
      <c r="Q201" s="727"/>
      <c r="R201" s="201"/>
      <c r="S201" s="202"/>
      <c r="T201" s="187"/>
      <c r="U201" s="200"/>
      <c r="Z201" s="60"/>
      <c r="AA201" s="60"/>
      <c r="AB201" s="60"/>
      <c r="AC201" s="60"/>
      <c r="AD201" s="60"/>
      <c r="AE201" s="60"/>
      <c r="AF201" s="60"/>
      <c r="AG201" s="60"/>
      <c r="AH201" s="60"/>
      <c r="AI201" s="60"/>
      <c r="AJ201" s="60"/>
      <c r="AR201" s="60"/>
      <c r="AS201" s="60"/>
      <c r="AT201" s="60"/>
      <c r="AU201" s="60"/>
      <c r="AV201" s="60"/>
      <c r="AW201" s="60"/>
      <c r="AX201" s="60"/>
      <c r="AY201" s="60"/>
    </row>
    <row r="202" spans="2:51" s="59" customFormat="1" ht="15" customHeight="1">
      <c r="B202" s="203"/>
      <c r="D202" s="186"/>
      <c r="E202" s="197"/>
      <c r="F202" s="207"/>
      <c r="G202" s="198"/>
      <c r="H202" s="199"/>
      <c r="I202" s="199"/>
      <c r="J202" s="187"/>
      <c r="K202" s="200"/>
      <c r="L202" s="363"/>
      <c r="M202" s="369"/>
      <c r="N202" s="364"/>
      <c r="O202" s="727"/>
      <c r="P202" s="727"/>
      <c r="Q202" s="727"/>
      <c r="R202" s="201"/>
      <c r="S202" s="202"/>
      <c r="T202" s="187"/>
      <c r="U202" s="200"/>
      <c r="Z202" s="60"/>
      <c r="AA202" s="60"/>
      <c r="AB202" s="60"/>
      <c r="AC202" s="60"/>
      <c r="AD202" s="60"/>
      <c r="AE202" s="60"/>
      <c r="AF202" s="60"/>
      <c r="AG202" s="60"/>
      <c r="AH202" s="60"/>
      <c r="AI202" s="60"/>
      <c r="AJ202" s="60"/>
      <c r="AR202" s="60"/>
      <c r="AS202" s="60"/>
      <c r="AT202" s="60"/>
      <c r="AU202" s="60"/>
      <c r="AV202" s="60"/>
      <c r="AW202" s="60"/>
      <c r="AX202" s="60"/>
      <c r="AY202" s="60"/>
    </row>
    <row r="203" spans="2:51" s="59" customFormat="1" ht="15" customHeight="1">
      <c r="B203" s="203"/>
      <c r="D203" s="186"/>
      <c r="E203" s="201"/>
      <c r="F203" s="187"/>
      <c r="G203" s="187"/>
      <c r="H203" s="187"/>
      <c r="I203" s="187"/>
      <c r="J203" s="187"/>
      <c r="K203" s="188"/>
      <c r="L203" s="363"/>
      <c r="M203" s="364"/>
      <c r="N203" s="364"/>
      <c r="O203" s="365"/>
      <c r="P203" s="365"/>
      <c r="Q203" s="188"/>
      <c r="R203" s="201"/>
      <c r="S203" s="187"/>
      <c r="T203" s="187"/>
      <c r="U203" s="188"/>
      <c r="Z203" s="60"/>
      <c r="AA203" s="60"/>
      <c r="AB203" s="60"/>
      <c r="AC203" s="60"/>
      <c r="AD203" s="60"/>
      <c r="AE203" s="60"/>
      <c r="AF203" s="60"/>
      <c r="AG203" s="60"/>
      <c r="AH203" s="60"/>
      <c r="AI203" s="60"/>
      <c r="AJ203" s="60"/>
      <c r="AR203" s="60"/>
      <c r="AS203" s="60"/>
      <c r="AT203" s="60"/>
      <c r="AU203" s="60"/>
      <c r="AV203" s="60"/>
      <c r="AW203" s="60"/>
      <c r="AX203" s="60"/>
      <c r="AY203" s="60"/>
    </row>
    <row r="204" spans="2:51" s="59" customFormat="1" ht="15" customHeight="1">
      <c r="B204" s="203"/>
      <c r="D204" s="186"/>
      <c r="E204" s="201"/>
      <c r="F204" s="199"/>
      <c r="G204" s="199"/>
      <c r="H204" s="199"/>
      <c r="I204" s="199"/>
      <c r="J204" s="199"/>
      <c r="K204" s="188"/>
      <c r="L204" s="363"/>
      <c r="M204" s="366"/>
      <c r="N204" s="366"/>
      <c r="O204" s="365"/>
      <c r="P204" s="365"/>
      <c r="Q204" s="188"/>
      <c r="R204" s="201"/>
      <c r="S204" s="199"/>
      <c r="T204" s="199"/>
      <c r="U204" s="188"/>
      <c r="Z204" s="60"/>
      <c r="AA204" s="60"/>
      <c r="AB204" s="60"/>
      <c r="AC204" s="60"/>
      <c r="AD204" s="60"/>
      <c r="AE204" s="60"/>
      <c r="AF204" s="60"/>
      <c r="AG204" s="60"/>
      <c r="AH204" s="60"/>
      <c r="AI204" s="60"/>
      <c r="AJ204" s="60"/>
      <c r="AR204" s="60"/>
      <c r="AS204" s="60"/>
      <c r="AT204" s="60"/>
      <c r="AU204" s="60"/>
      <c r="AV204" s="60"/>
      <c r="AW204" s="60"/>
      <c r="AX204" s="60"/>
      <c r="AY204" s="60"/>
    </row>
    <row r="205" spans="2:51" s="59" customFormat="1" ht="15" customHeight="1">
      <c r="B205" s="203"/>
      <c r="D205" s="186"/>
      <c r="E205" s="201"/>
      <c r="F205" s="199"/>
      <c r="G205" s="199"/>
      <c r="H205" s="199"/>
      <c r="I205" s="199"/>
      <c r="J205" s="199"/>
      <c r="K205" s="188"/>
      <c r="L205" s="363"/>
      <c r="M205" s="366"/>
      <c r="N205" s="366"/>
      <c r="O205" s="365"/>
      <c r="P205" s="365"/>
      <c r="Q205" s="188"/>
      <c r="R205" s="201"/>
      <c r="S205" s="199"/>
      <c r="T205" s="199"/>
      <c r="U205" s="188"/>
      <c r="Z205" s="60"/>
      <c r="AA205" s="60"/>
      <c r="AB205" s="60"/>
      <c r="AC205" s="60"/>
      <c r="AD205" s="60"/>
      <c r="AE205" s="60"/>
      <c r="AF205" s="60"/>
      <c r="AG205" s="60"/>
      <c r="AH205" s="60"/>
      <c r="AI205" s="60"/>
      <c r="AJ205" s="60"/>
      <c r="AR205" s="60"/>
      <c r="AS205" s="60"/>
      <c r="AT205" s="60"/>
      <c r="AU205" s="60"/>
      <c r="AV205" s="60"/>
      <c r="AW205" s="60"/>
      <c r="AX205" s="60"/>
      <c r="AY205" s="60"/>
    </row>
    <row r="206" spans="2:51" s="59" customFormat="1" ht="15" customHeight="1">
      <c r="B206" s="203"/>
      <c r="D206" s="186"/>
      <c r="E206" s="201"/>
      <c r="F206" s="201"/>
      <c r="G206" s="201"/>
      <c r="H206" s="201"/>
      <c r="I206" s="201"/>
      <c r="J206" s="201"/>
      <c r="K206" s="188"/>
      <c r="L206" s="363"/>
      <c r="M206" s="363"/>
      <c r="N206" s="363"/>
      <c r="O206" s="365"/>
      <c r="P206" s="365"/>
      <c r="Q206" s="188"/>
      <c r="R206" s="201"/>
      <c r="S206" s="201"/>
      <c r="T206" s="201"/>
      <c r="U206" s="188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  <c r="AJ206" s="60"/>
      <c r="AR206" s="60"/>
      <c r="AS206" s="60"/>
      <c r="AT206" s="60"/>
      <c r="AU206" s="60"/>
      <c r="AV206" s="60"/>
      <c r="AW206" s="60"/>
      <c r="AX206" s="60"/>
      <c r="AY206" s="60"/>
    </row>
    <row r="207" spans="2:51" s="59" customFormat="1" ht="15" customHeight="1">
      <c r="B207" s="194"/>
      <c r="C207" s="183"/>
      <c r="D207" s="726"/>
      <c r="E207" s="726"/>
      <c r="F207" s="726"/>
      <c r="G207" s="726"/>
      <c r="H207" s="189"/>
      <c r="I207" s="189"/>
      <c r="J207" s="189"/>
      <c r="K207" s="195"/>
      <c r="L207" s="367"/>
      <c r="M207" s="367"/>
      <c r="N207" s="367"/>
      <c r="O207" s="368"/>
      <c r="P207" s="368"/>
      <c r="Q207" s="195"/>
      <c r="R207" s="196"/>
      <c r="S207" s="196"/>
      <c r="T207" s="196"/>
      <c r="U207" s="195"/>
      <c r="V207" s="183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  <c r="AJ207" s="60"/>
      <c r="AR207" s="60"/>
      <c r="AS207" s="60"/>
      <c r="AT207" s="60"/>
      <c r="AU207" s="60"/>
      <c r="AV207" s="60"/>
      <c r="AW207" s="60"/>
      <c r="AX207" s="60"/>
      <c r="AY207" s="60"/>
    </row>
    <row r="208" spans="2:51" s="59" customFormat="1" ht="15" customHeight="1">
      <c r="B208" s="184"/>
      <c r="C208" s="185"/>
      <c r="D208" s="186"/>
      <c r="E208" s="197"/>
      <c r="F208" s="207"/>
      <c r="G208" s="198"/>
      <c r="H208" s="199"/>
      <c r="I208" s="199"/>
      <c r="J208" s="187"/>
      <c r="K208" s="200"/>
      <c r="L208" s="363"/>
      <c r="M208" s="369"/>
      <c r="N208" s="364"/>
      <c r="O208" s="725"/>
      <c r="P208" s="725"/>
      <c r="Q208" s="725"/>
      <c r="R208" s="201"/>
      <c r="S208" s="202"/>
      <c r="T208" s="187"/>
      <c r="U208" s="200"/>
      <c r="Z208" s="60"/>
      <c r="AA208" s="60"/>
      <c r="AB208" s="60"/>
      <c r="AC208" s="60"/>
      <c r="AD208" s="60"/>
      <c r="AE208" s="60"/>
      <c r="AF208" s="60"/>
      <c r="AG208" s="60"/>
      <c r="AH208" s="60"/>
      <c r="AI208" s="60"/>
      <c r="AJ208" s="60"/>
      <c r="AR208" s="60"/>
      <c r="AS208" s="60"/>
      <c r="AT208" s="60"/>
      <c r="AU208" s="60"/>
      <c r="AV208" s="60"/>
      <c r="AW208" s="60"/>
      <c r="AX208" s="60"/>
      <c r="AY208" s="60"/>
    </row>
    <row r="209" spans="2:51" s="59" customFormat="1" ht="15" customHeight="1">
      <c r="B209" s="184"/>
      <c r="D209" s="186"/>
      <c r="E209" s="197"/>
      <c r="F209" s="207"/>
      <c r="G209" s="198"/>
      <c r="H209" s="199"/>
      <c r="I209" s="199"/>
      <c r="J209" s="187"/>
      <c r="K209" s="200"/>
      <c r="L209" s="363"/>
      <c r="M209" s="369"/>
      <c r="N209" s="364"/>
      <c r="O209" s="725"/>
      <c r="P209" s="725"/>
      <c r="Q209" s="725"/>
      <c r="R209" s="201"/>
      <c r="S209" s="202"/>
      <c r="T209" s="187"/>
      <c r="U209" s="200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  <c r="AJ209" s="60"/>
      <c r="AR209" s="60"/>
      <c r="AS209" s="60"/>
      <c r="AT209" s="60"/>
      <c r="AU209" s="60"/>
      <c r="AV209" s="60"/>
      <c r="AW209" s="60"/>
      <c r="AX209" s="60"/>
      <c r="AY209" s="60"/>
    </row>
    <row r="210" spans="2:51" s="59" customFormat="1" ht="15" customHeight="1">
      <c r="B210" s="184"/>
      <c r="D210" s="186"/>
      <c r="E210" s="197"/>
      <c r="F210" s="207"/>
      <c r="G210" s="198"/>
      <c r="H210" s="199"/>
      <c r="I210" s="199"/>
      <c r="J210" s="187"/>
      <c r="K210" s="200"/>
      <c r="L210" s="363"/>
      <c r="M210" s="369"/>
      <c r="N210" s="364"/>
      <c r="O210" s="725"/>
      <c r="P210" s="725"/>
      <c r="Q210" s="725"/>
      <c r="R210" s="201"/>
      <c r="S210" s="202"/>
      <c r="T210" s="187"/>
      <c r="U210" s="200"/>
      <c r="Z210" s="60"/>
      <c r="AA210" s="60"/>
      <c r="AB210" s="60"/>
      <c r="AC210" s="60"/>
      <c r="AD210" s="60"/>
      <c r="AE210" s="60"/>
      <c r="AF210" s="60"/>
      <c r="AG210" s="60"/>
      <c r="AH210" s="60"/>
      <c r="AI210" s="60"/>
      <c r="AJ210" s="60"/>
      <c r="AR210" s="60"/>
      <c r="AS210" s="60"/>
      <c r="AT210" s="60"/>
      <c r="AU210" s="60"/>
      <c r="AV210" s="60"/>
      <c r="AW210" s="60"/>
      <c r="AX210" s="60"/>
      <c r="AY210" s="60"/>
    </row>
    <row r="211" spans="2:51" s="59" customFormat="1" ht="15" customHeight="1">
      <c r="B211" s="184"/>
      <c r="D211" s="186"/>
      <c r="E211" s="197"/>
      <c r="F211" s="207"/>
      <c r="G211" s="198"/>
      <c r="H211" s="199"/>
      <c r="I211" s="199"/>
      <c r="J211" s="187"/>
      <c r="K211" s="200"/>
      <c r="L211" s="363"/>
      <c r="M211" s="369"/>
      <c r="N211" s="364"/>
      <c r="O211" s="725"/>
      <c r="P211" s="725"/>
      <c r="Q211" s="725"/>
      <c r="R211" s="201"/>
      <c r="S211" s="202"/>
      <c r="T211" s="187"/>
      <c r="U211" s="200"/>
      <c r="Z211" s="60"/>
      <c r="AA211" s="60"/>
      <c r="AB211" s="60"/>
      <c r="AC211" s="60"/>
      <c r="AD211" s="60"/>
      <c r="AE211" s="60"/>
      <c r="AF211" s="60"/>
      <c r="AG211" s="60"/>
      <c r="AH211" s="60"/>
      <c r="AI211" s="60"/>
      <c r="AJ211" s="60"/>
      <c r="AR211" s="60"/>
      <c r="AS211" s="60"/>
      <c r="AT211" s="60"/>
      <c r="AU211" s="60"/>
      <c r="AV211" s="60"/>
      <c r="AW211" s="60"/>
      <c r="AX211" s="60"/>
      <c r="AY211" s="60"/>
    </row>
    <row r="212" spans="2:51" s="59" customFormat="1" ht="15" customHeight="1">
      <c r="B212" s="184"/>
      <c r="D212" s="186"/>
      <c r="E212" s="197"/>
      <c r="F212" s="207"/>
      <c r="G212" s="198"/>
      <c r="H212" s="199"/>
      <c r="I212" s="199"/>
      <c r="J212" s="187"/>
      <c r="K212" s="200"/>
      <c r="L212" s="363"/>
      <c r="M212" s="369"/>
      <c r="N212" s="364"/>
      <c r="O212" s="725"/>
      <c r="P212" s="725"/>
      <c r="Q212" s="725"/>
      <c r="R212" s="201"/>
      <c r="S212" s="202"/>
      <c r="T212" s="187"/>
      <c r="U212" s="200"/>
      <c r="Z212" s="60"/>
      <c r="AA212" s="60"/>
      <c r="AB212" s="60"/>
      <c r="AC212" s="60"/>
      <c r="AD212" s="60"/>
      <c r="AE212" s="60"/>
      <c r="AF212" s="60"/>
      <c r="AG212" s="60"/>
      <c r="AH212" s="60"/>
      <c r="AI212" s="60"/>
      <c r="AJ212" s="60"/>
      <c r="AR212" s="60"/>
      <c r="AS212" s="60"/>
      <c r="AT212" s="60"/>
      <c r="AU212" s="60"/>
      <c r="AV212" s="60"/>
      <c r="AW212" s="60"/>
      <c r="AX212" s="60"/>
      <c r="AY212" s="60"/>
    </row>
    <row r="213" spans="2:51" s="59" customFormat="1" ht="15" customHeight="1">
      <c r="B213" s="184"/>
      <c r="D213" s="186"/>
      <c r="E213" s="197"/>
      <c r="F213" s="207"/>
      <c r="G213" s="198"/>
      <c r="H213" s="199"/>
      <c r="I213" s="199"/>
      <c r="J213" s="187"/>
      <c r="K213" s="200"/>
      <c r="L213" s="363"/>
      <c r="M213" s="369"/>
      <c r="N213" s="364"/>
      <c r="O213" s="725"/>
      <c r="P213" s="725"/>
      <c r="Q213" s="725"/>
      <c r="R213" s="201"/>
      <c r="S213" s="202"/>
      <c r="T213" s="187"/>
      <c r="U213" s="200"/>
      <c r="Z213" s="60"/>
      <c r="AA213" s="60"/>
      <c r="AB213" s="60"/>
      <c r="AC213" s="60"/>
      <c r="AD213" s="60"/>
      <c r="AE213" s="60"/>
      <c r="AF213" s="60"/>
      <c r="AG213" s="60"/>
      <c r="AH213" s="60"/>
      <c r="AI213" s="60"/>
      <c r="AJ213" s="60"/>
      <c r="AR213" s="60"/>
      <c r="AS213" s="60"/>
      <c r="AT213" s="60"/>
      <c r="AU213" s="60"/>
      <c r="AV213" s="60"/>
      <c r="AW213" s="60"/>
      <c r="AX213" s="60"/>
      <c r="AY213" s="60"/>
    </row>
    <row r="214" spans="2:51" s="59" customFormat="1" ht="15" customHeight="1">
      <c r="B214" s="184"/>
      <c r="D214" s="186"/>
      <c r="E214" s="197"/>
      <c r="F214" s="207"/>
      <c r="G214" s="198"/>
      <c r="H214" s="199"/>
      <c r="I214" s="199"/>
      <c r="J214" s="187"/>
      <c r="K214" s="200"/>
      <c r="L214" s="363"/>
      <c r="M214" s="369"/>
      <c r="N214" s="364"/>
      <c r="O214" s="725"/>
      <c r="P214" s="725"/>
      <c r="Q214" s="725"/>
      <c r="R214" s="201"/>
      <c r="S214" s="202"/>
      <c r="T214" s="187"/>
      <c r="U214" s="200"/>
      <c r="Z214" s="60"/>
      <c r="AA214" s="60"/>
      <c r="AB214" s="60"/>
      <c r="AC214" s="60"/>
      <c r="AD214" s="60"/>
      <c r="AE214" s="60"/>
      <c r="AF214" s="60"/>
      <c r="AG214" s="60"/>
      <c r="AH214" s="60"/>
      <c r="AI214" s="60"/>
      <c r="AJ214" s="60"/>
      <c r="AR214" s="60"/>
      <c r="AS214" s="60"/>
      <c r="AT214" s="60"/>
      <c r="AU214" s="60"/>
      <c r="AV214" s="60"/>
      <c r="AW214" s="60"/>
      <c r="AX214" s="60"/>
      <c r="AY214" s="60"/>
    </row>
    <row r="215" spans="2:51" s="59" customFormat="1" ht="15" customHeight="1">
      <c r="B215" s="184"/>
      <c r="D215" s="186"/>
      <c r="E215" s="197"/>
      <c r="F215" s="207"/>
      <c r="G215" s="198"/>
      <c r="H215" s="199"/>
      <c r="I215" s="199"/>
      <c r="J215" s="187"/>
      <c r="K215" s="200"/>
      <c r="L215" s="363"/>
      <c r="M215" s="369"/>
      <c r="N215" s="364"/>
      <c r="O215" s="725"/>
      <c r="P215" s="725"/>
      <c r="Q215" s="725"/>
      <c r="R215" s="201"/>
      <c r="S215" s="202"/>
      <c r="T215" s="187"/>
      <c r="U215" s="200"/>
      <c r="Z215" s="60"/>
      <c r="AA215" s="60"/>
      <c r="AB215" s="60"/>
      <c r="AC215" s="60"/>
      <c r="AD215" s="60"/>
      <c r="AE215" s="60"/>
      <c r="AF215" s="60"/>
      <c r="AG215" s="60"/>
      <c r="AH215" s="60"/>
      <c r="AI215" s="60"/>
      <c r="AJ215" s="60"/>
      <c r="AR215" s="60"/>
      <c r="AS215" s="60"/>
      <c r="AT215" s="60"/>
      <c r="AU215" s="60"/>
      <c r="AV215" s="60"/>
      <c r="AW215" s="60"/>
      <c r="AX215" s="60"/>
      <c r="AY215" s="60"/>
    </row>
    <row r="216" spans="2:51" s="59" customFormat="1" ht="15" customHeight="1">
      <c r="B216" s="184"/>
      <c r="D216" s="186"/>
      <c r="E216" s="197"/>
      <c r="F216" s="207"/>
      <c r="G216" s="198"/>
      <c r="H216" s="199"/>
      <c r="I216" s="199"/>
      <c r="J216" s="187"/>
      <c r="K216" s="200"/>
      <c r="L216" s="363"/>
      <c r="M216" s="369"/>
      <c r="N216" s="364"/>
      <c r="O216" s="725"/>
      <c r="P216" s="725"/>
      <c r="Q216" s="725"/>
      <c r="R216" s="201"/>
      <c r="S216" s="202"/>
      <c r="T216" s="187"/>
      <c r="U216" s="200"/>
      <c r="Z216" s="60"/>
      <c r="AA216" s="60"/>
      <c r="AB216" s="60"/>
      <c r="AC216" s="60"/>
      <c r="AD216" s="60"/>
      <c r="AE216" s="60"/>
      <c r="AF216" s="60"/>
      <c r="AG216" s="60"/>
      <c r="AH216" s="60"/>
      <c r="AI216" s="60"/>
      <c r="AJ216" s="60"/>
      <c r="AR216" s="60"/>
      <c r="AS216" s="60"/>
      <c r="AT216" s="60"/>
      <c r="AU216" s="60"/>
      <c r="AV216" s="60"/>
      <c r="AW216" s="60"/>
      <c r="AX216" s="60"/>
      <c r="AY216" s="60"/>
    </row>
    <row r="217" spans="2:51" s="59" customFormat="1" ht="15" customHeight="1">
      <c r="B217" s="184"/>
      <c r="D217" s="186"/>
      <c r="E217" s="197"/>
      <c r="F217" s="207"/>
      <c r="G217" s="198"/>
      <c r="H217" s="199"/>
      <c r="I217" s="199"/>
      <c r="J217" s="187"/>
      <c r="K217" s="200"/>
      <c r="L217" s="363"/>
      <c r="M217" s="369"/>
      <c r="N217" s="364"/>
      <c r="O217" s="725"/>
      <c r="P217" s="725"/>
      <c r="Q217" s="725"/>
      <c r="R217" s="201"/>
      <c r="S217" s="202"/>
      <c r="T217" s="187"/>
      <c r="U217" s="200"/>
      <c r="Z217" s="60"/>
      <c r="AA217" s="60"/>
      <c r="AB217" s="60"/>
      <c r="AC217" s="60"/>
      <c r="AD217" s="60"/>
      <c r="AE217" s="60"/>
      <c r="AF217" s="60"/>
      <c r="AG217" s="60"/>
      <c r="AH217" s="60"/>
      <c r="AI217" s="60"/>
      <c r="AJ217" s="60"/>
      <c r="AR217" s="60"/>
      <c r="AS217" s="60"/>
      <c r="AT217" s="60"/>
      <c r="AU217" s="60"/>
      <c r="AV217" s="60"/>
      <c r="AW217" s="60"/>
      <c r="AX217" s="60"/>
      <c r="AY217" s="60"/>
    </row>
    <row r="218" spans="2:51" s="59" customFormat="1" ht="15" customHeight="1">
      <c r="B218" s="184"/>
      <c r="D218" s="186"/>
      <c r="E218" s="197"/>
      <c r="F218" s="207"/>
      <c r="G218" s="198"/>
      <c r="H218" s="199"/>
      <c r="I218" s="199"/>
      <c r="J218" s="187"/>
      <c r="K218" s="200"/>
      <c r="L218" s="363"/>
      <c r="M218" s="369"/>
      <c r="N218" s="364"/>
      <c r="O218" s="725"/>
      <c r="P218" s="725"/>
      <c r="Q218" s="725"/>
      <c r="R218" s="201"/>
      <c r="S218" s="202"/>
      <c r="T218" s="187"/>
      <c r="U218" s="200"/>
      <c r="Z218" s="60"/>
      <c r="AA218" s="60"/>
      <c r="AB218" s="60"/>
      <c r="AC218" s="60"/>
      <c r="AD218" s="60"/>
      <c r="AE218" s="60"/>
      <c r="AF218" s="60"/>
      <c r="AG218" s="60"/>
      <c r="AH218" s="60"/>
      <c r="AI218" s="60"/>
      <c r="AJ218" s="60"/>
      <c r="AR218" s="60"/>
      <c r="AS218" s="60"/>
      <c r="AT218" s="60"/>
      <c r="AU218" s="60"/>
      <c r="AV218" s="60"/>
      <c r="AW218" s="60"/>
      <c r="AX218" s="60"/>
      <c r="AY218" s="60"/>
    </row>
    <row r="219" spans="2:51" s="59" customFormat="1" ht="15" customHeight="1">
      <c r="B219" s="184"/>
      <c r="D219" s="186"/>
      <c r="E219" s="197"/>
      <c r="F219" s="207"/>
      <c r="G219" s="198"/>
      <c r="H219" s="199"/>
      <c r="I219" s="199"/>
      <c r="J219" s="187"/>
      <c r="K219" s="200"/>
      <c r="L219" s="363"/>
      <c r="M219" s="369"/>
      <c r="N219" s="364"/>
      <c r="O219" s="725"/>
      <c r="P219" s="725"/>
      <c r="Q219" s="725"/>
      <c r="R219" s="201"/>
      <c r="S219" s="202"/>
      <c r="T219" s="187"/>
      <c r="U219" s="200"/>
      <c r="Z219" s="60"/>
      <c r="AA219" s="60"/>
      <c r="AB219" s="60"/>
      <c r="AC219" s="60"/>
      <c r="AD219" s="60"/>
      <c r="AE219" s="60"/>
      <c r="AF219" s="60"/>
      <c r="AG219" s="60"/>
      <c r="AH219" s="60"/>
      <c r="AI219" s="60"/>
      <c r="AJ219" s="60"/>
      <c r="AR219" s="60"/>
      <c r="AS219" s="60"/>
      <c r="AT219" s="60"/>
      <c r="AU219" s="60"/>
      <c r="AV219" s="60"/>
      <c r="AW219" s="60"/>
      <c r="AX219" s="60"/>
      <c r="AY219" s="60"/>
    </row>
    <row r="220" spans="2:51" s="59" customFormat="1" ht="15" customHeight="1">
      <c r="B220" s="203"/>
      <c r="D220" s="186"/>
      <c r="E220" s="197"/>
      <c r="F220" s="207"/>
      <c r="G220" s="198"/>
      <c r="H220" s="199"/>
      <c r="I220" s="199"/>
      <c r="J220" s="187"/>
      <c r="K220" s="200"/>
      <c r="L220" s="363"/>
      <c r="M220" s="369"/>
      <c r="N220" s="364"/>
      <c r="O220" s="725"/>
      <c r="P220" s="725"/>
      <c r="Q220" s="725"/>
      <c r="R220" s="201"/>
      <c r="S220" s="202"/>
      <c r="T220" s="187"/>
      <c r="U220" s="200"/>
      <c r="Z220" s="60"/>
      <c r="AA220" s="60"/>
      <c r="AB220" s="60"/>
      <c r="AC220" s="60"/>
      <c r="AD220" s="60"/>
      <c r="AE220" s="60"/>
      <c r="AF220" s="60"/>
      <c r="AG220" s="60"/>
      <c r="AH220" s="60"/>
      <c r="AI220" s="60"/>
      <c r="AJ220" s="60"/>
      <c r="AR220" s="60"/>
      <c r="AS220" s="60"/>
      <c r="AT220" s="60"/>
      <c r="AU220" s="60"/>
      <c r="AV220" s="60"/>
      <c r="AW220" s="60"/>
      <c r="AX220" s="60"/>
      <c r="AY220" s="60"/>
    </row>
    <row r="221" spans="2:51" s="59" customFormat="1" ht="15" customHeight="1">
      <c r="B221" s="203"/>
      <c r="D221" s="186"/>
      <c r="E221" s="197"/>
      <c r="F221" s="207"/>
      <c r="G221" s="198"/>
      <c r="H221" s="199"/>
      <c r="I221" s="199"/>
      <c r="J221" s="187"/>
      <c r="K221" s="200"/>
      <c r="L221" s="363"/>
      <c r="M221" s="369"/>
      <c r="N221" s="364"/>
      <c r="O221" s="725"/>
      <c r="P221" s="725"/>
      <c r="Q221" s="725"/>
      <c r="R221" s="201"/>
      <c r="S221" s="202"/>
      <c r="T221" s="187"/>
      <c r="U221" s="200"/>
      <c r="Z221" s="60"/>
      <c r="AA221" s="60"/>
      <c r="AB221" s="60"/>
      <c r="AC221" s="60"/>
      <c r="AD221" s="60"/>
      <c r="AE221" s="60"/>
      <c r="AF221" s="60"/>
      <c r="AG221" s="60"/>
      <c r="AH221" s="60"/>
      <c r="AI221" s="60"/>
      <c r="AJ221" s="60"/>
      <c r="AR221" s="60"/>
      <c r="AS221" s="60"/>
      <c r="AT221" s="60"/>
      <c r="AU221" s="60"/>
      <c r="AV221" s="60"/>
      <c r="AW221" s="60"/>
      <c r="AX221" s="60"/>
      <c r="AY221" s="60"/>
    </row>
    <row r="222" spans="2:51" s="59" customFormat="1" ht="15" customHeight="1">
      <c r="B222" s="203"/>
      <c r="D222" s="186"/>
      <c r="E222" s="197"/>
      <c r="F222" s="207"/>
      <c r="G222" s="198"/>
      <c r="H222" s="199"/>
      <c r="I222" s="199"/>
      <c r="J222" s="187"/>
      <c r="K222" s="200"/>
      <c r="L222" s="363"/>
      <c r="M222" s="369"/>
      <c r="N222" s="364"/>
      <c r="O222" s="725"/>
      <c r="P222" s="725"/>
      <c r="Q222" s="725"/>
      <c r="R222" s="201"/>
      <c r="S222" s="202"/>
      <c r="T222" s="187"/>
      <c r="U222" s="200"/>
      <c r="Z222" s="60"/>
      <c r="AA222" s="60"/>
      <c r="AB222" s="60"/>
      <c r="AC222" s="60"/>
      <c r="AD222" s="60"/>
      <c r="AE222" s="60"/>
      <c r="AF222" s="60"/>
      <c r="AG222" s="60"/>
      <c r="AH222" s="60"/>
      <c r="AI222" s="60"/>
      <c r="AJ222" s="60"/>
      <c r="AR222" s="60"/>
      <c r="AS222" s="60"/>
      <c r="AT222" s="60"/>
      <c r="AU222" s="60"/>
      <c r="AV222" s="60"/>
      <c r="AW222" s="60"/>
      <c r="AX222" s="60"/>
      <c r="AY222" s="60"/>
    </row>
    <row r="223" spans="2:51" s="59" customFormat="1" ht="15" customHeight="1">
      <c r="B223" s="203"/>
      <c r="D223" s="186"/>
      <c r="E223" s="197"/>
      <c r="F223" s="207"/>
      <c r="G223" s="198"/>
      <c r="H223" s="199"/>
      <c r="I223" s="199"/>
      <c r="J223" s="187"/>
      <c r="K223" s="200"/>
      <c r="L223" s="363"/>
      <c r="M223" s="369"/>
      <c r="N223" s="364"/>
      <c r="O223" s="725"/>
      <c r="P223" s="725"/>
      <c r="Q223" s="725"/>
      <c r="R223" s="201"/>
      <c r="S223" s="202"/>
      <c r="T223" s="187"/>
      <c r="U223" s="200"/>
      <c r="Z223" s="60"/>
      <c r="AA223" s="60"/>
      <c r="AB223" s="60"/>
      <c r="AC223" s="60"/>
      <c r="AD223" s="60"/>
      <c r="AE223" s="60"/>
      <c r="AF223" s="60"/>
      <c r="AG223" s="60"/>
      <c r="AH223" s="60"/>
      <c r="AI223" s="60"/>
      <c r="AJ223" s="60"/>
      <c r="AR223" s="60"/>
      <c r="AS223" s="60"/>
      <c r="AT223" s="60"/>
      <c r="AU223" s="60"/>
      <c r="AV223" s="60"/>
      <c r="AW223" s="60"/>
      <c r="AX223" s="60"/>
      <c r="AY223" s="60"/>
    </row>
    <row r="224" spans="2:51" s="59" customFormat="1" ht="15" customHeight="1">
      <c r="B224" s="203"/>
      <c r="D224" s="186"/>
      <c r="E224" s="197"/>
      <c r="F224" s="207"/>
      <c r="G224" s="198"/>
      <c r="H224" s="199"/>
      <c r="I224" s="199"/>
      <c r="J224" s="187"/>
      <c r="K224" s="200"/>
      <c r="L224" s="363"/>
      <c r="M224" s="369"/>
      <c r="N224" s="364"/>
      <c r="O224" s="725"/>
      <c r="P224" s="725"/>
      <c r="Q224" s="725"/>
      <c r="R224" s="201"/>
      <c r="S224" s="202"/>
      <c r="T224" s="187"/>
      <c r="U224" s="200"/>
      <c r="Z224" s="60"/>
      <c r="AA224" s="60"/>
      <c r="AB224" s="60"/>
      <c r="AC224" s="60"/>
      <c r="AD224" s="60"/>
      <c r="AE224" s="60"/>
      <c r="AF224" s="60"/>
      <c r="AG224" s="60"/>
      <c r="AH224" s="60"/>
      <c r="AI224" s="60"/>
      <c r="AJ224" s="60"/>
      <c r="AR224" s="60"/>
      <c r="AS224" s="60"/>
      <c r="AT224" s="60"/>
      <c r="AU224" s="60"/>
      <c r="AV224" s="60"/>
      <c r="AW224" s="60"/>
      <c r="AX224" s="60"/>
      <c r="AY224" s="60"/>
    </row>
    <row r="225" spans="2:51" s="59" customFormat="1" ht="15" customHeight="1">
      <c r="B225" s="203"/>
      <c r="D225" s="186"/>
      <c r="E225" s="197"/>
      <c r="F225" s="207"/>
      <c r="G225" s="198"/>
      <c r="H225" s="199"/>
      <c r="I225" s="199"/>
      <c r="J225" s="187"/>
      <c r="K225" s="200"/>
      <c r="L225" s="363"/>
      <c r="M225" s="369"/>
      <c r="N225" s="364"/>
      <c r="O225" s="725"/>
      <c r="P225" s="725"/>
      <c r="Q225" s="725"/>
      <c r="R225" s="201"/>
      <c r="S225" s="202"/>
      <c r="T225" s="187"/>
      <c r="U225" s="200"/>
      <c r="Z225" s="60"/>
      <c r="AA225" s="60"/>
      <c r="AB225" s="60"/>
      <c r="AC225" s="60"/>
      <c r="AD225" s="60"/>
      <c r="AE225" s="60"/>
      <c r="AF225" s="60"/>
      <c r="AG225" s="60"/>
      <c r="AH225" s="60"/>
      <c r="AI225" s="60"/>
      <c r="AJ225" s="60"/>
      <c r="AR225" s="60"/>
      <c r="AS225" s="60"/>
      <c r="AT225" s="60"/>
      <c r="AU225" s="60"/>
      <c r="AV225" s="60"/>
      <c r="AW225" s="60"/>
      <c r="AX225" s="60"/>
      <c r="AY225" s="60"/>
    </row>
    <row r="226" spans="2:51" s="59" customFormat="1" ht="15" customHeight="1">
      <c r="B226" s="203"/>
      <c r="D226" s="186"/>
      <c r="E226" s="197"/>
      <c r="F226" s="207"/>
      <c r="G226" s="198"/>
      <c r="H226" s="199"/>
      <c r="I226" s="199"/>
      <c r="J226" s="187"/>
      <c r="K226" s="200"/>
      <c r="L226" s="363"/>
      <c r="M226" s="369"/>
      <c r="N226" s="364"/>
      <c r="O226" s="725"/>
      <c r="P226" s="725"/>
      <c r="Q226" s="725"/>
      <c r="R226" s="201"/>
      <c r="S226" s="202"/>
      <c r="T226" s="187"/>
      <c r="U226" s="200"/>
      <c r="Z226" s="60"/>
      <c r="AA226" s="60"/>
      <c r="AB226" s="60"/>
      <c r="AC226" s="60"/>
      <c r="AD226" s="60"/>
      <c r="AE226" s="60"/>
      <c r="AF226" s="60"/>
      <c r="AG226" s="60"/>
      <c r="AH226" s="60"/>
      <c r="AI226" s="60"/>
      <c r="AJ226" s="60"/>
      <c r="AR226" s="60"/>
      <c r="AS226" s="60"/>
      <c r="AT226" s="60"/>
      <c r="AU226" s="60"/>
      <c r="AV226" s="60"/>
      <c r="AW226" s="60"/>
      <c r="AX226" s="60"/>
      <c r="AY226" s="60"/>
    </row>
    <row r="227" spans="2:51" s="59" customFormat="1" ht="15" customHeight="1">
      <c r="B227" s="203"/>
      <c r="D227" s="186"/>
      <c r="E227" s="197"/>
      <c r="F227" s="207"/>
      <c r="G227" s="198"/>
      <c r="H227" s="199"/>
      <c r="I227" s="199"/>
      <c r="J227" s="187"/>
      <c r="K227" s="200"/>
      <c r="L227" s="363"/>
      <c r="M227" s="369"/>
      <c r="N227" s="364"/>
      <c r="O227" s="725"/>
      <c r="P227" s="725"/>
      <c r="Q227" s="725"/>
      <c r="R227" s="201"/>
      <c r="S227" s="202"/>
      <c r="T227" s="187"/>
      <c r="U227" s="200"/>
      <c r="Z227" s="60"/>
      <c r="AA227" s="60"/>
      <c r="AB227" s="60"/>
      <c r="AC227" s="60"/>
      <c r="AD227" s="60"/>
      <c r="AE227" s="60"/>
      <c r="AF227" s="60"/>
      <c r="AG227" s="60"/>
      <c r="AH227" s="60"/>
      <c r="AI227" s="60"/>
      <c r="AJ227" s="60"/>
      <c r="AR227" s="60"/>
      <c r="AS227" s="60"/>
      <c r="AT227" s="60"/>
      <c r="AU227" s="60"/>
      <c r="AV227" s="60"/>
      <c r="AW227" s="60"/>
      <c r="AX227" s="60"/>
      <c r="AY227" s="60"/>
    </row>
    <row r="228" spans="2:51" s="59" customFormat="1" ht="15" customHeight="1">
      <c r="B228" s="203"/>
      <c r="D228" s="186"/>
      <c r="E228" s="197"/>
      <c r="F228" s="207"/>
      <c r="G228" s="198"/>
      <c r="H228" s="199"/>
      <c r="I228" s="199"/>
      <c r="J228" s="187"/>
      <c r="K228" s="200"/>
      <c r="L228" s="363"/>
      <c r="M228" s="369"/>
      <c r="N228" s="364"/>
      <c r="O228" s="725"/>
      <c r="P228" s="725"/>
      <c r="Q228" s="725"/>
      <c r="R228" s="201"/>
      <c r="S228" s="202"/>
      <c r="T228" s="187"/>
      <c r="U228" s="200"/>
      <c r="Z228" s="60"/>
      <c r="AA228" s="60"/>
      <c r="AB228" s="60"/>
      <c r="AC228" s="60"/>
      <c r="AD228" s="60"/>
      <c r="AE228" s="60"/>
      <c r="AF228" s="60"/>
      <c r="AG228" s="60"/>
      <c r="AH228" s="60"/>
      <c r="AI228" s="60"/>
      <c r="AJ228" s="60"/>
      <c r="AR228" s="60"/>
      <c r="AS228" s="60"/>
      <c r="AT228" s="60"/>
      <c r="AU228" s="60"/>
      <c r="AV228" s="60"/>
      <c r="AW228" s="60"/>
      <c r="AX228" s="60"/>
      <c r="AY228" s="60"/>
    </row>
    <row r="229" spans="2:51" s="59" customFormat="1" ht="15" customHeight="1">
      <c r="B229" s="203"/>
      <c r="D229" s="186"/>
      <c r="E229" s="197"/>
      <c r="F229" s="207"/>
      <c r="G229" s="198"/>
      <c r="H229" s="199"/>
      <c r="I229" s="199"/>
      <c r="J229" s="187"/>
      <c r="K229" s="200"/>
      <c r="L229" s="363"/>
      <c r="M229" s="369"/>
      <c r="N229" s="364"/>
      <c r="O229" s="725"/>
      <c r="P229" s="725"/>
      <c r="Q229" s="725"/>
      <c r="R229" s="201"/>
      <c r="S229" s="202"/>
      <c r="T229" s="187"/>
      <c r="U229" s="200"/>
      <c r="Z229" s="60"/>
      <c r="AA229" s="60"/>
      <c r="AB229" s="60"/>
      <c r="AC229" s="60"/>
      <c r="AD229" s="60"/>
      <c r="AE229" s="60"/>
      <c r="AF229" s="60"/>
      <c r="AG229" s="60"/>
      <c r="AH229" s="60"/>
      <c r="AI229" s="60"/>
      <c r="AJ229" s="60"/>
      <c r="AR229" s="60"/>
      <c r="AS229" s="60"/>
      <c r="AT229" s="60"/>
      <c r="AU229" s="60"/>
      <c r="AV229" s="60"/>
      <c r="AW229" s="60"/>
      <c r="AX229" s="60"/>
      <c r="AY229" s="60"/>
    </row>
    <row r="230" spans="2:51" s="59" customFormat="1" ht="15" customHeight="1">
      <c r="B230" s="203"/>
      <c r="D230" s="186"/>
      <c r="E230" s="197"/>
      <c r="F230" s="207"/>
      <c r="G230" s="198"/>
      <c r="H230" s="199"/>
      <c r="I230" s="199"/>
      <c r="J230" s="187"/>
      <c r="K230" s="200"/>
      <c r="L230" s="363"/>
      <c r="M230" s="369"/>
      <c r="N230" s="364"/>
      <c r="O230" s="725"/>
      <c r="P230" s="725"/>
      <c r="Q230" s="725"/>
      <c r="R230" s="201"/>
      <c r="S230" s="202"/>
      <c r="T230" s="187"/>
      <c r="U230" s="200"/>
      <c r="Z230" s="60"/>
      <c r="AA230" s="60"/>
      <c r="AB230" s="60"/>
      <c r="AC230" s="60"/>
      <c r="AD230" s="60"/>
      <c r="AE230" s="60"/>
      <c r="AF230" s="60"/>
      <c r="AG230" s="60"/>
      <c r="AH230" s="60"/>
      <c r="AI230" s="60"/>
      <c r="AJ230" s="60"/>
      <c r="AR230" s="60"/>
      <c r="AS230" s="60"/>
      <c r="AT230" s="60"/>
      <c r="AU230" s="60"/>
      <c r="AV230" s="60"/>
      <c r="AW230" s="60"/>
      <c r="AX230" s="60"/>
      <c r="AY230" s="60"/>
    </row>
    <row r="231" spans="2:51" s="59" customFormat="1" ht="15" customHeight="1">
      <c r="B231" s="203"/>
      <c r="D231" s="186"/>
      <c r="E231" s="197"/>
      <c r="F231" s="207"/>
      <c r="G231" s="198"/>
      <c r="H231" s="199"/>
      <c r="I231" s="199"/>
      <c r="J231" s="187"/>
      <c r="K231" s="200"/>
      <c r="L231" s="363"/>
      <c r="M231" s="369"/>
      <c r="N231" s="364"/>
      <c r="O231" s="725"/>
      <c r="P231" s="725"/>
      <c r="Q231" s="725"/>
      <c r="R231" s="201"/>
      <c r="S231" s="202"/>
      <c r="T231" s="187"/>
      <c r="U231" s="200"/>
      <c r="Z231" s="60"/>
      <c r="AA231" s="60"/>
      <c r="AB231" s="60"/>
      <c r="AC231" s="60"/>
      <c r="AD231" s="60"/>
      <c r="AE231" s="60"/>
      <c r="AF231" s="60"/>
      <c r="AG231" s="60"/>
      <c r="AH231" s="60"/>
      <c r="AI231" s="60"/>
      <c r="AJ231" s="60"/>
      <c r="AR231" s="60"/>
      <c r="AS231" s="60"/>
      <c r="AT231" s="60"/>
      <c r="AU231" s="60"/>
      <c r="AV231" s="60"/>
      <c r="AW231" s="60"/>
      <c r="AX231" s="60"/>
      <c r="AY231" s="60"/>
    </row>
    <row r="232" spans="2:51" s="59" customFormat="1" ht="15" customHeight="1">
      <c r="B232" s="203"/>
      <c r="D232" s="186"/>
      <c r="E232" s="197"/>
      <c r="F232" s="207"/>
      <c r="G232" s="198"/>
      <c r="H232" s="199"/>
      <c r="I232" s="199"/>
      <c r="J232" s="187"/>
      <c r="K232" s="200"/>
      <c r="L232" s="363"/>
      <c r="M232" s="369"/>
      <c r="N232" s="364"/>
      <c r="O232" s="725"/>
      <c r="P232" s="725"/>
      <c r="Q232" s="725"/>
      <c r="R232" s="201"/>
      <c r="S232" s="202"/>
      <c r="T232" s="187"/>
      <c r="U232" s="200"/>
      <c r="Z232" s="60"/>
      <c r="AA232" s="60"/>
      <c r="AB232" s="60"/>
      <c r="AC232" s="60"/>
      <c r="AD232" s="60"/>
      <c r="AE232" s="60"/>
      <c r="AF232" s="60"/>
      <c r="AG232" s="60"/>
      <c r="AH232" s="60"/>
      <c r="AI232" s="60"/>
      <c r="AJ232" s="60"/>
      <c r="AR232" s="60"/>
      <c r="AS232" s="60"/>
      <c r="AT232" s="60"/>
      <c r="AU232" s="60"/>
      <c r="AV232" s="60"/>
      <c r="AW232" s="60"/>
      <c r="AX232" s="60"/>
      <c r="AY232" s="60"/>
    </row>
    <row r="233" spans="2:51" s="59" customFormat="1" ht="15" customHeight="1">
      <c r="B233" s="203"/>
      <c r="D233" s="186"/>
      <c r="E233" s="197"/>
      <c r="F233" s="207"/>
      <c r="G233" s="198"/>
      <c r="H233" s="199"/>
      <c r="I233" s="199"/>
      <c r="J233" s="187"/>
      <c r="K233" s="200"/>
      <c r="L233" s="363"/>
      <c r="M233" s="369"/>
      <c r="N233" s="364"/>
      <c r="O233" s="725"/>
      <c r="P233" s="725"/>
      <c r="Q233" s="725"/>
      <c r="R233" s="201"/>
      <c r="S233" s="202"/>
      <c r="T233" s="187"/>
      <c r="U233" s="200"/>
      <c r="Z233" s="60"/>
      <c r="AA233" s="60"/>
      <c r="AB233" s="60"/>
      <c r="AC233" s="60"/>
      <c r="AD233" s="60"/>
      <c r="AE233" s="60"/>
      <c r="AF233" s="60"/>
      <c r="AG233" s="60"/>
      <c r="AH233" s="60"/>
      <c r="AI233" s="60"/>
      <c r="AJ233" s="60"/>
      <c r="AR233" s="60"/>
      <c r="AS233" s="60"/>
      <c r="AT233" s="60"/>
      <c r="AU233" s="60"/>
      <c r="AV233" s="60"/>
      <c r="AW233" s="60"/>
      <c r="AX233" s="60"/>
      <c r="AY233" s="60"/>
    </row>
    <row r="234" spans="2:51" s="59" customFormat="1" ht="15" customHeight="1">
      <c r="B234" s="203"/>
      <c r="D234" s="186"/>
      <c r="E234" s="197"/>
      <c r="F234" s="207"/>
      <c r="G234" s="198"/>
      <c r="H234" s="199"/>
      <c r="I234" s="199"/>
      <c r="J234" s="187"/>
      <c r="K234" s="200"/>
      <c r="L234" s="363"/>
      <c r="M234" s="369"/>
      <c r="N234" s="364"/>
      <c r="O234" s="725"/>
      <c r="P234" s="725"/>
      <c r="Q234" s="725"/>
      <c r="R234" s="201"/>
      <c r="S234" s="202"/>
      <c r="T234" s="187"/>
      <c r="U234" s="200"/>
      <c r="Z234" s="60"/>
      <c r="AA234" s="60"/>
      <c r="AB234" s="60"/>
      <c r="AC234" s="60"/>
      <c r="AD234" s="60"/>
      <c r="AE234" s="60"/>
      <c r="AF234" s="60"/>
      <c r="AG234" s="60"/>
      <c r="AH234" s="60"/>
      <c r="AI234" s="60"/>
      <c r="AJ234" s="60"/>
      <c r="AR234" s="60"/>
      <c r="AS234" s="60"/>
      <c r="AT234" s="60"/>
      <c r="AU234" s="60"/>
      <c r="AV234" s="60"/>
      <c r="AW234" s="60"/>
      <c r="AX234" s="60"/>
      <c r="AY234" s="60"/>
    </row>
    <row r="235" spans="2:51" s="59" customFormat="1" ht="15" customHeight="1">
      <c r="B235" s="203"/>
      <c r="D235" s="186"/>
      <c r="E235" s="197"/>
      <c r="F235" s="207"/>
      <c r="G235" s="198"/>
      <c r="H235" s="199"/>
      <c r="I235" s="199"/>
      <c r="J235" s="187"/>
      <c r="K235" s="200"/>
      <c r="L235" s="363"/>
      <c r="M235" s="369"/>
      <c r="N235" s="364"/>
      <c r="O235" s="725"/>
      <c r="P235" s="725"/>
      <c r="Q235" s="725"/>
      <c r="R235" s="201"/>
      <c r="S235" s="202"/>
      <c r="T235" s="187"/>
      <c r="U235" s="200"/>
      <c r="Z235" s="60"/>
      <c r="AA235" s="60"/>
      <c r="AB235" s="60"/>
      <c r="AC235" s="60"/>
      <c r="AD235" s="60"/>
      <c r="AE235" s="60"/>
      <c r="AF235" s="60"/>
      <c r="AG235" s="60"/>
      <c r="AH235" s="60"/>
      <c r="AI235" s="60"/>
      <c r="AJ235" s="60"/>
      <c r="AR235" s="60"/>
      <c r="AS235" s="60"/>
      <c r="AT235" s="60"/>
      <c r="AU235" s="60"/>
      <c r="AV235" s="60"/>
      <c r="AW235" s="60"/>
      <c r="AX235" s="60"/>
      <c r="AY235" s="60"/>
    </row>
    <row r="236" spans="2:51" s="183" customFormat="1" ht="15" customHeight="1">
      <c r="B236" s="203"/>
      <c r="C236" s="59"/>
      <c r="D236" s="186"/>
      <c r="E236" s="197"/>
      <c r="F236" s="207"/>
      <c r="G236" s="198"/>
      <c r="H236" s="199"/>
      <c r="I236" s="199"/>
      <c r="J236" s="187"/>
      <c r="K236" s="200"/>
      <c r="L236" s="363"/>
      <c r="M236" s="369"/>
      <c r="N236" s="364"/>
      <c r="O236" s="725"/>
      <c r="P236" s="725"/>
      <c r="Q236" s="725"/>
      <c r="R236" s="201"/>
      <c r="S236" s="202"/>
      <c r="T236" s="187"/>
      <c r="U236" s="200"/>
      <c r="V236" s="59"/>
      <c r="Z236" s="108"/>
      <c r="AA236" s="60"/>
      <c r="AB236" s="60"/>
      <c r="AC236" s="60"/>
      <c r="AD236" s="60"/>
      <c r="AE236" s="60"/>
      <c r="AF236" s="60"/>
      <c r="AG236" s="60"/>
      <c r="AH236" s="60"/>
      <c r="AI236" s="108"/>
      <c r="AJ236" s="108"/>
      <c r="AK236" s="204"/>
      <c r="AL236" s="204"/>
      <c r="AM236" s="204"/>
      <c r="AN236" s="204"/>
      <c r="AO236" s="204"/>
      <c r="AP236" s="204"/>
      <c r="AR236" s="108"/>
      <c r="AS236" s="108"/>
      <c r="AT236" s="108"/>
      <c r="AU236" s="108"/>
      <c r="AV236" s="108"/>
      <c r="AW236" s="108"/>
      <c r="AX236" s="108"/>
      <c r="AY236" s="108"/>
    </row>
    <row r="237" spans="2:51" s="59" customFormat="1" ht="15" customHeight="1">
      <c r="B237" s="203"/>
      <c r="D237" s="186"/>
      <c r="E237" s="197"/>
      <c r="F237" s="207"/>
      <c r="G237" s="198"/>
      <c r="H237" s="199"/>
      <c r="I237" s="199"/>
      <c r="J237" s="187"/>
      <c r="K237" s="200"/>
      <c r="L237" s="363"/>
      <c r="M237" s="369"/>
      <c r="N237" s="364"/>
      <c r="O237" s="725"/>
      <c r="P237" s="725"/>
      <c r="Q237" s="725"/>
      <c r="R237" s="201"/>
      <c r="S237" s="202"/>
      <c r="T237" s="187"/>
      <c r="U237" s="200"/>
      <c r="Z237" s="60"/>
      <c r="AA237" s="60"/>
      <c r="AB237" s="60"/>
      <c r="AC237" s="60"/>
      <c r="AD237" s="60"/>
      <c r="AE237" s="60"/>
      <c r="AF237" s="60"/>
      <c r="AG237" s="60"/>
      <c r="AH237" s="60"/>
      <c r="AI237" s="60"/>
      <c r="AJ237" s="60"/>
      <c r="AR237" s="60"/>
      <c r="AS237" s="60"/>
      <c r="AT237" s="60"/>
      <c r="AU237" s="60"/>
      <c r="AV237" s="60"/>
      <c r="AW237" s="60"/>
      <c r="AX237" s="60"/>
      <c r="AY237" s="60"/>
    </row>
    <row r="238" spans="2:51" s="59" customFormat="1" ht="15" customHeight="1">
      <c r="B238" s="203"/>
      <c r="D238" s="186"/>
      <c r="E238" s="201"/>
      <c r="F238" s="202"/>
      <c r="G238" s="187"/>
      <c r="H238" s="187"/>
      <c r="I238" s="187"/>
      <c r="J238" s="187"/>
      <c r="K238" s="200"/>
      <c r="L238" s="363"/>
      <c r="M238" s="369"/>
      <c r="N238" s="364"/>
      <c r="O238" s="725"/>
      <c r="P238" s="725"/>
      <c r="Q238" s="725"/>
      <c r="R238" s="201"/>
      <c r="S238" s="202"/>
      <c r="T238" s="187"/>
      <c r="U238" s="200"/>
      <c r="Z238" s="60"/>
      <c r="AA238" s="60"/>
      <c r="AB238" s="60"/>
      <c r="AC238" s="60"/>
      <c r="AD238" s="60"/>
      <c r="AE238" s="60"/>
      <c r="AF238" s="60"/>
      <c r="AG238" s="60"/>
      <c r="AH238" s="60"/>
      <c r="AI238" s="60"/>
      <c r="AJ238" s="60"/>
      <c r="AR238" s="60"/>
      <c r="AS238" s="60"/>
      <c r="AT238" s="60"/>
      <c r="AU238" s="60"/>
      <c r="AV238" s="60"/>
      <c r="AW238" s="60"/>
      <c r="AX238" s="60"/>
      <c r="AY238" s="60"/>
    </row>
    <row r="239" spans="2:51" s="59" customFormat="1" ht="15" customHeight="1">
      <c r="B239" s="203"/>
      <c r="D239" s="186"/>
      <c r="E239" s="201"/>
      <c r="F239" s="187"/>
      <c r="G239" s="187"/>
      <c r="H239" s="187"/>
      <c r="I239" s="187"/>
      <c r="J239" s="187"/>
      <c r="K239" s="188"/>
      <c r="L239" s="363"/>
      <c r="M239" s="364"/>
      <c r="N239" s="364"/>
      <c r="O239" s="365"/>
      <c r="P239" s="365"/>
      <c r="Q239" s="188"/>
      <c r="R239" s="201"/>
      <c r="S239" s="187"/>
      <c r="T239" s="187"/>
      <c r="U239" s="188"/>
      <c r="Z239" s="60"/>
      <c r="AA239" s="60"/>
      <c r="AB239" s="60"/>
      <c r="AC239" s="60"/>
      <c r="AD239" s="60"/>
      <c r="AE239" s="60"/>
      <c r="AF239" s="60"/>
      <c r="AG239" s="60"/>
      <c r="AH239" s="60"/>
      <c r="AI239" s="60"/>
      <c r="AJ239" s="60"/>
      <c r="AR239" s="60"/>
      <c r="AS239" s="60"/>
      <c r="AT239" s="60"/>
      <c r="AU239" s="60"/>
      <c r="AV239" s="60"/>
      <c r="AW239" s="60"/>
      <c r="AX239" s="60"/>
      <c r="AY239" s="60"/>
    </row>
    <row r="240" spans="2:51" s="59" customFormat="1" ht="15" customHeight="1">
      <c r="B240" s="203"/>
      <c r="D240" s="186"/>
      <c r="E240" s="201"/>
      <c r="F240" s="199"/>
      <c r="G240" s="199"/>
      <c r="H240" s="199"/>
      <c r="I240" s="199"/>
      <c r="J240" s="199"/>
      <c r="K240" s="188"/>
      <c r="L240" s="363"/>
      <c r="M240" s="366"/>
      <c r="N240" s="366"/>
      <c r="O240" s="365"/>
      <c r="P240" s="365"/>
      <c r="Q240" s="188"/>
      <c r="R240" s="201"/>
      <c r="S240" s="199"/>
      <c r="T240" s="199"/>
      <c r="U240" s="188"/>
      <c r="Z240" s="60"/>
      <c r="AA240" s="60"/>
      <c r="AB240" s="60"/>
      <c r="AC240" s="60"/>
      <c r="AD240" s="60"/>
      <c r="AE240" s="60"/>
      <c r="AF240" s="60"/>
      <c r="AG240" s="60"/>
      <c r="AH240" s="60"/>
      <c r="AI240" s="60"/>
      <c r="AJ240" s="60"/>
      <c r="AR240" s="60"/>
      <c r="AS240" s="60"/>
      <c r="AT240" s="60"/>
      <c r="AU240" s="60"/>
      <c r="AV240" s="60"/>
      <c r="AW240" s="60"/>
      <c r="AX240" s="60"/>
      <c r="AY240" s="60"/>
    </row>
    <row r="241" spans="2:51" s="59" customFormat="1" ht="15" customHeight="1">
      <c r="B241" s="203"/>
      <c r="D241" s="186"/>
      <c r="E241" s="201"/>
      <c r="F241" s="199"/>
      <c r="G241" s="199"/>
      <c r="H241" s="199"/>
      <c r="I241" s="199"/>
      <c r="J241" s="199"/>
      <c r="K241" s="188"/>
      <c r="L241" s="363"/>
      <c r="M241" s="366"/>
      <c r="N241" s="366"/>
      <c r="O241" s="365"/>
      <c r="P241" s="365"/>
      <c r="Q241" s="188"/>
      <c r="R241" s="201"/>
      <c r="S241" s="199"/>
      <c r="T241" s="199"/>
      <c r="U241" s="188"/>
      <c r="Z241" s="60"/>
      <c r="AA241" s="60"/>
      <c r="AB241" s="60"/>
      <c r="AC241" s="60"/>
      <c r="AD241" s="60"/>
      <c r="AE241" s="60"/>
      <c r="AF241" s="60"/>
      <c r="AG241" s="60"/>
      <c r="AH241" s="60"/>
      <c r="AI241" s="60"/>
      <c r="AJ241" s="60"/>
      <c r="AR241" s="60"/>
      <c r="AS241" s="60"/>
      <c r="AT241" s="60"/>
      <c r="AU241" s="60"/>
      <c r="AV241" s="60"/>
      <c r="AW241" s="60"/>
      <c r="AX241" s="60"/>
      <c r="AY241" s="60"/>
    </row>
    <row r="242" spans="2:51" s="59" customFormat="1" ht="15" customHeight="1">
      <c r="B242" s="203"/>
      <c r="D242" s="186"/>
      <c r="E242" s="201"/>
      <c r="F242" s="201"/>
      <c r="G242" s="201"/>
      <c r="H242" s="201"/>
      <c r="I242" s="201"/>
      <c r="J242" s="201"/>
      <c r="K242" s="188"/>
      <c r="L242" s="363"/>
      <c r="M242" s="363"/>
      <c r="N242" s="363"/>
      <c r="O242" s="365"/>
      <c r="P242" s="365"/>
      <c r="Q242" s="188"/>
      <c r="R242" s="201"/>
      <c r="S242" s="201"/>
      <c r="T242" s="201"/>
      <c r="U242" s="188"/>
      <c r="Z242" s="60"/>
      <c r="AA242" s="60"/>
      <c r="AB242" s="60"/>
      <c r="AC242" s="60"/>
      <c r="AD242" s="60"/>
      <c r="AE242" s="60"/>
      <c r="AF242" s="60"/>
      <c r="AG242" s="60"/>
      <c r="AH242" s="60"/>
      <c r="AI242" s="60"/>
      <c r="AJ242" s="60"/>
      <c r="AR242" s="60"/>
      <c r="AS242" s="60"/>
      <c r="AT242" s="60"/>
      <c r="AU242" s="60"/>
      <c r="AV242" s="60"/>
      <c r="AW242" s="60"/>
      <c r="AX242" s="60"/>
      <c r="AY242" s="60"/>
    </row>
    <row r="243" spans="2:51" s="59" customFormat="1" ht="15" customHeight="1">
      <c r="B243" s="194"/>
      <c r="C243" s="183"/>
      <c r="D243" s="726"/>
      <c r="E243" s="726"/>
      <c r="F243" s="726"/>
      <c r="G243" s="726"/>
      <c r="H243" s="189"/>
      <c r="I243" s="189"/>
      <c r="J243" s="189"/>
      <c r="K243" s="195"/>
      <c r="L243" s="367"/>
      <c r="M243" s="367"/>
      <c r="N243" s="367"/>
      <c r="O243" s="368"/>
      <c r="P243" s="368"/>
      <c r="Q243" s="195"/>
      <c r="R243" s="196"/>
      <c r="S243" s="196"/>
      <c r="T243" s="196"/>
      <c r="U243" s="195"/>
      <c r="V243" s="183"/>
      <c r="Z243" s="60"/>
      <c r="AA243" s="60"/>
      <c r="AB243" s="60"/>
      <c r="AC243" s="60"/>
      <c r="AD243" s="60"/>
      <c r="AE243" s="60"/>
      <c r="AF243" s="60"/>
      <c r="AG243" s="60"/>
      <c r="AH243" s="60"/>
      <c r="AI243" s="60"/>
      <c r="AJ243" s="60"/>
      <c r="AR243" s="60"/>
      <c r="AS243" s="60"/>
      <c r="AT243" s="60"/>
      <c r="AU243" s="60"/>
      <c r="AV243" s="60"/>
      <c r="AW243" s="60"/>
      <c r="AX243" s="60"/>
      <c r="AY243" s="60"/>
    </row>
    <row r="244" spans="2:51" s="59" customFormat="1" ht="15" customHeight="1">
      <c r="B244" s="184"/>
      <c r="C244" s="185"/>
      <c r="D244" s="186"/>
      <c r="E244" s="197"/>
      <c r="F244" s="207"/>
      <c r="G244" s="198"/>
      <c r="H244" s="199"/>
      <c r="I244" s="199"/>
      <c r="J244" s="187"/>
      <c r="K244" s="200"/>
      <c r="L244" s="363"/>
      <c r="M244" s="369"/>
      <c r="N244" s="364"/>
      <c r="O244" s="725"/>
      <c r="P244" s="725"/>
      <c r="Q244" s="725"/>
      <c r="R244" s="201"/>
      <c r="S244" s="202"/>
      <c r="T244" s="187"/>
      <c r="U244" s="200"/>
      <c r="Z244" s="60"/>
      <c r="AA244" s="60"/>
      <c r="AB244" s="60"/>
      <c r="AC244" s="60"/>
      <c r="AD244" s="60"/>
      <c r="AE244" s="60"/>
      <c r="AF244" s="60"/>
      <c r="AG244" s="60"/>
      <c r="AH244" s="60"/>
      <c r="AI244" s="60"/>
      <c r="AJ244" s="60"/>
      <c r="AR244" s="60"/>
      <c r="AS244" s="60"/>
      <c r="AT244" s="60"/>
      <c r="AU244" s="60"/>
      <c r="AV244" s="60"/>
      <c r="AW244" s="60"/>
      <c r="AX244" s="60"/>
      <c r="AY244" s="60"/>
    </row>
    <row r="245" spans="2:51" s="59" customFormat="1" ht="15" customHeight="1">
      <c r="B245" s="184"/>
      <c r="D245" s="186"/>
      <c r="E245" s="197"/>
      <c r="F245" s="207"/>
      <c r="G245" s="198"/>
      <c r="H245" s="199"/>
      <c r="I245" s="199"/>
      <c r="J245" s="187"/>
      <c r="K245" s="200"/>
      <c r="L245" s="363"/>
      <c r="M245" s="369"/>
      <c r="N245" s="364"/>
      <c r="O245" s="725"/>
      <c r="P245" s="725"/>
      <c r="Q245" s="725"/>
      <c r="R245" s="201"/>
      <c r="S245" s="202"/>
      <c r="T245" s="187"/>
      <c r="U245" s="200"/>
      <c r="Z245" s="60"/>
      <c r="AA245" s="60"/>
      <c r="AB245" s="60"/>
      <c r="AC245" s="60"/>
      <c r="AD245" s="60"/>
      <c r="AE245" s="60"/>
      <c r="AF245" s="60"/>
      <c r="AG245" s="60"/>
      <c r="AH245" s="60"/>
      <c r="AI245" s="60"/>
      <c r="AJ245" s="60"/>
      <c r="AR245" s="60"/>
      <c r="AS245" s="60"/>
      <c r="AT245" s="60"/>
      <c r="AU245" s="60"/>
      <c r="AV245" s="60"/>
      <c r="AW245" s="60"/>
      <c r="AX245" s="60"/>
      <c r="AY245" s="60"/>
    </row>
    <row r="246" spans="2:51" s="59" customFormat="1" ht="15" customHeight="1">
      <c r="B246" s="184"/>
      <c r="D246" s="186"/>
      <c r="E246" s="197"/>
      <c r="F246" s="207"/>
      <c r="G246" s="198"/>
      <c r="H246" s="199"/>
      <c r="I246" s="199"/>
      <c r="J246" s="187"/>
      <c r="K246" s="200"/>
      <c r="L246" s="363"/>
      <c r="M246" s="369"/>
      <c r="N246" s="364"/>
      <c r="O246" s="725"/>
      <c r="P246" s="725"/>
      <c r="Q246" s="725"/>
      <c r="R246" s="201"/>
      <c r="S246" s="202"/>
      <c r="T246" s="187"/>
      <c r="U246" s="200"/>
      <c r="Z246" s="60"/>
      <c r="AA246" s="60"/>
      <c r="AB246" s="60"/>
      <c r="AC246" s="60"/>
      <c r="AD246" s="60"/>
      <c r="AE246" s="60"/>
      <c r="AF246" s="60"/>
      <c r="AG246" s="60"/>
      <c r="AH246" s="60"/>
      <c r="AI246" s="60"/>
      <c r="AJ246" s="60"/>
      <c r="AR246" s="60"/>
      <c r="AS246" s="60"/>
      <c r="AT246" s="60"/>
      <c r="AU246" s="60"/>
      <c r="AV246" s="60"/>
      <c r="AW246" s="60"/>
      <c r="AX246" s="60"/>
      <c r="AY246" s="60"/>
    </row>
    <row r="247" spans="2:51" s="59" customFormat="1" ht="15" customHeight="1">
      <c r="B247" s="184"/>
      <c r="D247" s="186"/>
      <c r="E247" s="197"/>
      <c r="F247" s="207"/>
      <c r="G247" s="198"/>
      <c r="H247" s="199"/>
      <c r="I247" s="199"/>
      <c r="J247" s="187"/>
      <c r="K247" s="200"/>
      <c r="L247" s="363"/>
      <c r="M247" s="369"/>
      <c r="N247" s="364"/>
      <c r="O247" s="725"/>
      <c r="P247" s="725"/>
      <c r="Q247" s="725"/>
      <c r="R247" s="201"/>
      <c r="S247" s="202"/>
      <c r="T247" s="187"/>
      <c r="U247" s="200"/>
      <c r="Z247" s="60"/>
      <c r="AA247" s="60"/>
      <c r="AB247" s="60"/>
      <c r="AC247" s="60"/>
      <c r="AD247" s="60"/>
      <c r="AE247" s="60"/>
      <c r="AF247" s="60"/>
      <c r="AG247" s="60"/>
      <c r="AH247" s="60"/>
      <c r="AI247" s="60"/>
      <c r="AJ247" s="60"/>
      <c r="AR247" s="60"/>
      <c r="AS247" s="60"/>
      <c r="AT247" s="60"/>
      <c r="AU247" s="60"/>
      <c r="AV247" s="60"/>
      <c r="AW247" s="60"/>
      <c r="AX247" s="60"/>
      <c r="AY247" s="60"/>
    </row>
    <row r="248" spans="2:51" s="59" customFormat="1" ht="15" customHeight="1">
      <c r="B248" s="184"/>
      <c r="D248" s="186"/>
      <c r="E248" s="197"/>
      <c r="F248" s="207"/>
      <c r="G248" s="198"/>
      <c r="H248" s="199"/>
      <c r="I248" s="199"/>
      <c r="J248" s="187"/>
      <c r="K248" s="200"/>
      <c r="L248" s="363"/>
      <c r="M248" s="369"/>
      <c r="N248" s="364"/>
      <c r="O248" s="725"/>
      <c r="P248" s="725"/>
      <c r="Q248" s="725"/>
      <c r="R248" s="201"/>
      <c r="S248" s="202"/>
      <c r="T248" s="187"/>
      <c r="U248" s="200"/>
      <c r="Z248" s="60"/>
      <c r="AA248" s="60"/>
      <c r="AB248" s="60"/>
      <c r="AC248" s="60"/>
      <c r="AD248" s="60"/>
      <c r="AE248" s="60"/>
      <c r="AF248" s="60"/>
      <c r="AG248" s="60"/>
      <c r="AH248" s="60"/>
      <c r="AI248" s="60"/>
      <c r="AJ248" s="60"/>
      <c r="AR248" s="60"/>
      <c r="AS248" s="60"/>
      <c r="AT248" s="60"/>
      <c r="AU248" s="60"/>
      <c r="AV248" s="60"/>
      <c r="AW248" s="60"/>
      <c r="AX248" s="60"/>
      <c r="AY248" s="60"/>
    </row>
    <row r="249" spans="2:51" s="59" customFormat="1" ht="15" customHeight="1">
      <c r="B249" s="184"/>
      <c r="D249" s="186"/>
      <c r="E249" s="197"/>
      <c r="F249" s="207"/>
      <c r="G249" s="198"/>
      <c r="H249" s="199"/>
      <c r="I249" s="199"/>
      <c r="J249" s="187"/>
      <c r="K249" s="200"/>
      <c r="L249" s="363"/>
      <c r="M249" s="369"/>
      <c r="N249" s="364"/>
      <c r="O249" s="725"/>
      <c r="P249" s="725"/>
      <c r="Q249" s="725"/>
      <c r="R249" s="201"/>
      <c r="S249" s="202"/>
      <c r="T249" s="187"/>
      <c r="U249" s="200"/>
      <c r="Z249" s="60"/>
      <c r="AA249" s="60"/>
      <c r="AB249" s="60"/>
      <c r="AC249" s="60"/>
      <c r="AD249" s="60"/>
      <c r="AE249" s="60"/>
      <c r="AF249" s="60"/>
      <c r="AG249" s="60"/>
      <c r="AH249" s="60"/>
      <c r="AI249" s="60"/>
      <c r="AJ249" s="60"/>
      <c r="AR249" s="60"/>
      <c r="AS249" s="60"/>
      <c r="AT249" s="60"/>
      <c r="AU249" s="60"/>
      <c r="AV249" s="60"/>
      <c r="AW249" s="60"/>
      <c r="AX249" s="60"/>
      <c r="AY249" s="60"/>
    </row>
    <row r="250" spans="2:51" s="59" customFormat="1" ht="15" customHeight="1">
      <c r="B250" s="184"/>
      <c r="D250" s="186"/>
      <c r="E250" s="197"/>
      <c r="F250" s="207"/>
      <c r="G250" s="198"/>
      <c r="H250" s="199"/>
      <c r="I250" s="199"/>
      <c r="J250" s="187"/>
      <c r="K250" s="200"/>
      <c r="L250" s="363"/>
      <c r="M250" s="369"/>
      <c r="N250" s="364"/>
      <c r="O250" s="725"/>
      <c r="P250" s="725"/>
      <c r="Q250" s="725"/>
      <c r="R250" s="201"/>
      <c r="S250" s="202"/>
      <c r="T250" s="187"/>
      <c r="U250" s="200"/>
      <c r="Z250" s="60"/>
      <c r="AA250" s="60"/>
      <c r="AB250" s="60"/>
      <c r="AC250" s="60"/>
      <c r="AD250" s="60"/>
      <c r="AE250" s="60"/>
      <c r="AF250" s="60"/>
      <c r="AG250" s="60"/>
      <c r="AH250" s="60"/>
      <c r="AI250" s="60"/>
      <c r="AJ250" s="60"/>
      <c r="AR250" s="60"/>
      <c r="AS250" s="60"/>
      <c r="AT250" s="60"/>
      <c r="AU250" s="60"/>
      <c r="AV250" s="60"/>
      <c r="AW250" s="60"/>
      <c r="AX250" s="60"/>
      <c r="AY250" s="60"/>
    </row>
    <row r="251" spans="2:51" s="59" customFormat="1" ht="15" customHeight="1">
      <c r="B251" s="184"/>
      <c r="D251" s="186"/>
      <c r="E251" s="197"/>
      <c r="F251" s="207"/>
      <c r="G251" s="198"/>
      <c r="H251" s="199"/>
      <c r="I251" s="199"/>
      <c r="J251" s="187"/>
      <c r="K251" s="200"/>
      <c r="L251" s="363"/>
      <c r="M251" s="369"/>
      <c r="N251" s="364"/>
      <c r="O251" s="725"/>
      <c r="P251" s="725"/>
      <c r="Q251" s="725"/>
      <c r="R251" s="201"/>
      <c r="S251" s="202"/>
      <c r="T251" s="187"/>
      <c r="U251" s="200"/>
      <c r="Z251" s="60"/>
      <c r="AA251" s="60"/>
      <c r="AB251" s="60"/>
      <c r="AC251" s="60"/>
      <c r="AD251" s="60"/>
      <c r="AE251" s="60"/>
      <c r="AF251" s="60"/>
      <c r="AG251" s="60"/>
      <c r="AH251" s="60"/>
      <c r="AI251" s="60"/>
      <c r="AJ251" s="60"/>
      <c r="AR251" s="60"/>
      <c r="AS251" s="60"/>
      <c r="AT251" s="60"/>
      <c r="AU251" s="60"/>
      <c r="AV251" s="60"/>
      <c r="AW251" s="60"/>
      <c r="AX251" s="60"/>
      <c r="AY251" s="60"/>
    </row>
    <row r="252" spans="2:51" s="59" customFormat="1" ht="15" customHeight="1">
      <c r="B252" s="184"/>
      <c r="D252" s="186"/>
      <c r="E252" s="197"/>
      <c r="F252" s="207"/>
      <c r="G252" s="198"/>
      <c r="H252" s="199"/>
      <c r="I252" s="199"/>
      <c r="J252" s="187"/>
      <c r="K252" s="200"/>
      <c r="L252" s="363"/>
      <c r="M252" s="369"/>
      <c r="N252" s="364"/>
      <c r="O252" s="725"/>
      <c r="P252" s="725"/>
      <c r="Q252" s="725"/>
      <c r="R252" s="201"/>
      <c r="S252" s="202"/>
      <c r="T252" s="187"/>
      <c r="U252" s="200"/>
      <c r="Z252" s="60"/>
      <c r="AA252" s="60"/>
      <c r="AB252" s="60"/>
      <c r="AC252" s="60"/>
      <c r="AD252" s="60"/>
      <c r="AE252" s="60"/>
      <c r="AF252" s="60"/>
      <c r="AG252" s="60"/>
      <c r="AH252" s="60"/>
      <c r="AI252" s="60"/>
      <c r="AJ252" s="60"/>
      <c r="AR252" s="60"/>
      <c r="AS252" s="60"/>
      <c r="AT252" s="60"/>
      <c r="AU252" s="60"/>
      <c r="AV252" s="60"/>
      <c r="AW252" s="60"/>
      <c r="AX252" s="60"/>
      <c r="AY252" s="60"/>
    </row>
    <row r="253" spans="2:51" s="59" customFormat="1" ht="15" customHeight="1">
      <c r="B253" s="184"/>
      <c r="D253" s="186"/>
      <c r="E253" s="197"/>
      <c r="F253" s="207"/>
      <c r="G253" s="198"/>
      <c r="H253" s="199"/>
      <c r="I253" s="199"/>
      <c r="J253" s="187"/>
      <c r="K253" s="200"/>
      <c r="L253" s="363"/>
      <c r="M253" s="369"/>
      <c r="N253" s="364"/>
      <c r="O253" s="725"/>
      <c r="P253" s="725"/>
      <c r="Q253" s="725"/>
      <c r="R253" s="201"/>
      <c r="S253" s="202"/>
      <c r="T253" s="187"/>
      <c r="U253" s="200"/>
      <c r="Z253" s="60"/>
      <c r="AA253" s="60"/>
      <c r="AB253" s="60"/>
      <c r="AC253" s="60"/>
      <c r="AD253" s="60"/>
      <c r="AE253" s="60"/>
      <c r="AF253" s="60"/>
      <c r="AG253" s="60"/>
      <c r="AH253" s="60"/>
      <c r="AI253" s="60"/>
      <c r="AJ253" s="60"/>
      <c r="AR253" s="60"/>
      <c r="AS253" s="60"/>
      <c r="AT253" s="60"/>
      <c r="AU253" s="60"/>
      <c r="AV253" s="60"/>
      <c r="AW253" s="60"/>
      <c r="AX253" s="60"/>
      <c r="AY253" s="60"/>
    </row>
    <row r="254" spans="2:51" s="59" customFormat="1" ht="15" customHeight="1">
      <c r="B254" s="184"/>
      <c r="D254" s="186"/>
      <c r="E254" s="197"/>
      <c r="F254" s="207"/>
      <c r="G254" s="198"/>
      <c r="H254" s="199"/>
      <c r="I254" s="199"/>
      <c r="J254" s="187"/>
      <c r="K254" s="200"/>
      <c r="L254" s="363"/>
      <c r="M254" s="369"/>
      <c r="N254" s="364"/>
      <c r="O254" s="725"/>
      <c r="P254" s="725"/>
      <c r="Q254" s="725"/>
      <c r="R254" s="201"/>
      <c r="S254" s="202"/>
      <c r="T254" s="187"/>
      <c r="U254" s="200"/>
      <c r="Z254" s="60"/>
      <c r="AA254" s="60"/>
      <c r="AB254" s="60"/>
      <c r="AC254" s="60"/>
      <c r="AD254" s="60"/>
      <c r="AE254" s="60"/>
      <c r="AF254" s="60"/>
      <c r="AG254" s="60"/>
      <c r="AH254" s="60"/>
      <c r="AI254" s="60"/>
      <c r="AJ254" s="60"/>
      <c r="AR254" s="60"/>
      <c r="AS254" s="60"/>
      <c r="AT254" s="60"/>
      <c r="AU254" s="60"/>
      <c r="AV254" s="60"/>
      <c r="AW254" s="60"/>
      <c r="AX254" s="60"/>
      <c r="AY254" s="60"/>
    </row>
    <row r="255" spans="2:51" s="59" customFormat="1" ht="15" customHeight="1">
      <c r="B255" s="184"/>
      <c r="D255" s="186"/>
      <c r="E255" s="197"/>
      <c r="F255" s="207"/>
      <c r="G255" s="198"/>
      <c r="H255" s="199"/>
      <c r="I255" s="199"/>
      <c r="J255" s="187"/>
      <c r="K255" s="200"/>
      <c r="L255" s="363"/>
      <c r="M255" s="369"/>
      <c r="N255" s="364"/>
      <c r="O255" s="725"/>
      <c r="P255" s="725"/>
      <c r="Q255" s="725"/>
      <c r="R255" s="201"/>
      <c r="S255" s="202"/>
      <c r="T255" s="187"/>
      <c r="U255" s="200"/>
      <c r="Z255" s="60"/>
      <c r="AA255" s="60"/>
      <c r="AB255" s="60"/>
      <c r="AC255" s="60"/>
      <c r="AD255" s="60"/>
      <c r="AE255" s="60"/>
      <c r="AF255" s="60"/>
      <c r="AG255" s="60"/>
      <c r="AH255" s="60"/>
      <c r="AI255" s="60"/>
      <c r="AJ255" s="60"/>
      <c r="AR255" s="60"/>
      <c r="AS255" s="60"/>
      <c r="AT255" s="60"/>
      <c r="AU255" s="60"/>
      <c r="AV255" s="60"/>
      <c r="AW255" s="60"/>
      <c r="AX255" s="60"/>
      <c r="AY255" s="60"/>
    </row>
    <row r="256" spans="2:51" s="59" customFormat="1" ht="15" customHeight="1">
      <c r="B256" s="203"/>
      <c r="D256" s="186"/>
      <c r="E256" s="197"/>
      <c r="F256" s="207"/>
      <c r="G256" s="198"/>
      <c r="H256" s="199"/>
      <c r="I256" s="199"/>
      <c r="J256" s="187"/>
      <c r="K256" s="200"/>
      <c r="L256" s="363"/>
      <c r="M256" s="369"/>
      <c r="N256" s="364"/>
      <c r="O256" s="725"/>
      <c r="P256" s="725"/>
      <c r="Q256" s="725"/>
      <c r="R256" s="201"/>
      <c r="S256" s="202"/>
      <c r="T256" s="187"/>
      <c r="U256" s="200"/>
      <c r="Z256" s="60"/>
      <c r="AA256" s="60"/>
      <c r="AB256" s="60"/>
      <c r="AC256" s="60"/>
      <c r="AD256" s="60"/>
      <c r="AE256" s="60"/>
      <c r="AF256" s="60"/>
      <c r="AG256" s="60"/>
      <c r="AH256" s="60"/>
      <c r="AI256" s="60"/>
      <c r="AJ256" s="60"/>
      <c r="AR256" s="60"/>
      <c r="AS256" s="60"/>
      <c r="AT256" s="60"/>
      <c r="AU256" s="60"/>
      <c r="AV256" s="60"/>
      <c r="AW256" s="60"/>
      <c r="AX256" s="60"/>
      <c r="AY256" s="60"/>
    </row>
    <row r="257" spans="2:51" s="59" customFormat="1" ht="15" customHeight="1">
      <c r="B257" s="203"/>
      <c r="D257" s="186"/>
      <c r="E257" s="197"/>
      <c r="F257" s="207"/>
      <c r="G257" s="198"/>
      <c r="H257" s="199"/>
      <c r="I257" s="199"/>
      <c r="J257" s="187"/>
      <c r="K257" s="200"/>
      <c r="L257" s="363"/>
      <c r="M257" s="369"/>
      <c r="N257" s="364"/>
      <c r="O257" s="725"/>
      <c r="P257" s="725"/>
      <c r="Q257" s="725"/>
      <c r="R257" s="201"/>
      <c r="S257" s="202"/>
      <c r="T257" s="187"/>
      <c r="U257" s="200"/>
      <c r="Z257" s="60"/>
      <c r="AA257" s="60"/>
      <c r="AB257" s="60"/>
      <c r="AC257" s="60"/>
      <c r="AD257" s="60"/>
      <c r="AE257" s="60"/>
      <c r="AF257" s="60"/>
      <c r="AG257" s="60"/>
      <c r="AH257" s="60"/>
      <c r="AI257" s="60"/>
      <c r="AJ257" s="60"/>
      <c r="AR257" s="60"/>
      <c r="AS257" s="60"/>
      <c r="AT257" s="60"/>
      <c r="AU257" s="60"/>
      <c r="AV257" s="60"/>
      <c r="AW257" s="60"/>
      <c r="AX257" s="60"/>
      <c r="AY257" s="60"/>
    </row>
    <row r="258" spans="2:51" s="59" customFormat="1" ht="15" customHeight="1">
      <c r="B258" s="203"/>
      <c r="D258" s="186"/>
      <c r="E258" s="197"/>
      <c r="F258" s="207"/>
      <c r="G258" s="198"/>
      <c r="H258" s="199"/>
      <c r="I258" s="199"/>
      <c r="J258" s="187"/>
      <c r="K258" s="200"/>
      <c r="L258" s="363"/>
      <c r="M258" s="369"/>
      <c r="N258" s="364"/>
      <c r="O258" s="725"/>
      <c r="P258" s="725"/>
      <c r="Q258" s="725"/>
      <c r="R258" s="201"/>
      <c r="S258" s="202"/>
      <c r="T258" s="187"/>
      <c r="U258" s="200"/>
      <c r="Z258" s="60"/>
      <c r="AA258" s="60"/>
      <c r="AB258" s="60"/>
      <c r="AC258" s="60"/>
      <c r="AD258" s="60"/>
      <c r="AE258" s="60"/>
      <c r="AF258" s="60"/>
      <c r="AG258" s="60"/>
      <c r="AH258" s="60"/>
      <c r="AI258" s="60"/>
      <c r="AJ258" s="60"/>
      <c r="AR258" s="60"/>
      <c r="AS258" s="60"/>
      <c r="AT258" s="60"/>
      <c r="AU258" s="60"/>
      <c r="AV258" s="60"/>
      <c r="AW258" s="60"/>
      <c r="AX258" s="60"/>
      <c r="AY258" s="60"/>
    </row>
    <row r="259" spans="2:51" s="59" customFormat="1" ht="15" customHeight="1">
      <c r="B259" s="203"/>
      <c r="D259" s="186"/>
      <c r="E259" s="197"/>
      <c r="F259" s="207"/>
      <c r="G259" s="198"/>
      <c r="H259" s="199"/>
      <c r="I259" s="199"/>
      <c r="J259" s="187"/>
      <c r="K259" s="200"/>
      <c r="L259" s="363"/>
      <c r="M259" s="369"/>
      <c r="N259" s="364"/>
      <c r="O259" s="725"/>
      <c r="P259" s="725"/>
      <c r="Q259" s="725"/>
      <c r="R259" s="201"/>
      <c r="S259" s="202"/>
      <c r="T259" s="187"/>
      <c r="U259" s="200"/>
      <c r="Z259" s="60"/>
      <c r="AA259" s="60"/>
      <c r="AB259" s="60"/>
      <c r="AC259" s="60"/>
      <c r="AD259" s="60"/>
      <c r="AE259" s="60"/>
      <c r="AF259" s="60"/>
      <c r="AG259" s="60"/>
      <c r="AH259" s="60"/>
      <c r="AI259" s="60"/>
      <c r="AJ259" s="60"/>
      <c r="AR259" s="60"/>
      <c r="AS259" s="60"/>
      <c r="AT259" s="60"/>
      <c r="AU259" s="60"/>
      <c r="AV259" s="60"/>
      <c r="AW259" s="60"/>
      <c r="AX259" s="60"/>
      <c r="AY259" s="60"/>
    </row>
    <row r="260" spans="2:51" s="59" customFormat="1" ht="15" customHeight="1">
      <c r="B260" s="203"/>
      <c r="D260" s="186"/>
      <c r="E260" s="197"/>
      <c r="F260" s="207"/>
      <c r="G260" s="198"/>
      <c r="H260" s="199"/>
      <c r="I260" s="199"/>
      <c r="J260" s="187"/>
      <c r="K260" s="200"/>
      <c r="L260" s="363"/>
      <c r="M260" s="369"/>
      <c r="N260" s="364"/>
      <c r="O260" s="725"/>
      <c r="P260" s="725"/>
      <c r="Q260" s="725"/>
      <c r="R260" s="201"/>
      <c r="S260" s="202"/>
      <c r="T260" s="187"/>
      <c r="U260" s="200"/>
      <c r="Z260" s="60"/>
      <c r="AA260" s="60"/>
      <c r="AB260" s="60"/>
      <c r="AC260" s="60"/>
      <c r="AD260" s="60"/>
      <c r="AE260" s="60"/>
      <c r="AF260" s="60"/>
      <c r="AG260" s="60"/>
      <c r="AH260" s="60"/>
      <c r="AI260" s="60"/>
      <c r="AJ260" s="60"/>
      <c r="AR260" s="60"/>
      <c r="AS260" s="60"/>
      <c r="AT260" s="60"/>
      <c r="AU260" s="60"/>
      <c r="AV260" s="60"/>
      <c r="AW260" s="60"/>
      <c r="AX260" s="60"/>
      <c r="AY260" s="60"/>
    </row>
    <row r="261" spans="2:51" s="59" customFormat="1" ht="15" customHeight="1">
      <c r="B261" s="203"/>
      <c r="D261" s="186"/>
      <c r="E261" s="197"/>
      <c r="F261" s="207"/>
      <c r="G261" s="198"/>
      <c r="H261" s="199"/>
      <c r="I261" s="199"/>
      <c r="J261" s="187"/>
      <c r="K261" s="200"/>
      <c r="L261" s="363"/>
      <c r="M261" s="369"/>
      <c r="N261" s="364"/>
      <c r="O261" s="725"/>
      <c r="P261" s="725"/>
      <c r="Q261" s="725"/>
      <c r="R261" s="201"/>
      <c r="S261" s="202"/>
      <c r="T261" s="187"/>
      <c r="U261" s="200"/>
      <c r="Z261" s="60"/>
      <c r="AA261" s="60"/>
      <c r="AB261" s="60"/>
      <c r="AC261" s="60"/>
      <c r="AD261" s="60"/>
      <c r="AE261" s="60"/>
      <c r="AF261" s="60"/>
      <c r="AG261" s="60"/>
      <c r="AH261" s="60"/>
      <c r="AI261" s="60"/>
      <c r="AJ261" s="60"/>
      <c r="AR261" s="60"/>
      <c r="AS261" s="60"/>
      <c r="AT261" s="60"/>
      <c r="AU261" s="60"/>
      <c r="AV261" s="60"/>
      <c r="AW261" s="60"/>
      <c r="AX261" s="60"/>
      <c r="AY261" s="60"/>
    </row>
    <row r="262" spans="2:51" s="59" customFormat="1" ht="15" customHeight="1">
      <c r="B262" s="203"/>
      <c r="D262" s="186"/>
      <c r="E262" s="197"/>
      <c r="F262" s="207"/>
      <c r="G262" s="198"/>
      <c r="H262" s="199"/>
      <c r="I262" s="199"/>
      <c r="J262" s="187"/>
      <c r="K262" s="200"/>
      <c r="L262" s="363"/>
      <c r="M262" s="369"/>
      <c r="N262" s="364"/>
      <c r="O262" s="725"/>
      <c r="P262" s="725"/>
      <c r="Q262" s="725"/>
      <c r="R262" s="201"/>
      <c r="S262" s="202"/>
      <c r="T262" s="187"/>
      <c r="U262" s="200"/>
      <c r="Z262" s="60"/>
      <c r="AA262" s="60"/>
      <c r="AB262" s="60"/>
      <c r="AC262" s="60"/>
      <c r="AD262" s="60"/>
      <c r="AE262" s="60"/>
      <c r="AF262" s="60"/>
      <c r="AG262" s="60"/>
      <c r="AH262" s="60"/>
      <c r="AI262" s="60"/>
      <c r="AJ262" s="60"/>
      <c r="AR262" s="60"/>
      <c r="AS262" s="60"/>
      <c r="AT262" s="60"/>
      <c r="AU262" s="60"/>
      <c r="AV262" s="60"/>
      <c r="AW262" s="60"/>
      <c r="AX262" s="60"/>
      <c r="AY262" s="60"/>
    </row>
    <row r="263" spans="2:51" s="59" customFormat="1" ht="15" customHeight="1">
      <c r="B263" s="203"/>
      <c r="D263" s="186"/>
      <c r="E263" s="197"/>
      <c r="F263" s="207"/>
      <c r="G263" s="198"/>
      <c r="H263" s="199"/>
      <c r="I263" s="199"/>
      <c r="J263" s="187"/>
      <c r="K263" s="200"/>
      <c r="L263" s="363"/>
      <c r="M263" s="369"/>
      <c r="N263" s="364"/>
      <c r="O263" s="725"/>
      <c r="P263" s="725"/>
      <c r="Q263" s="725"/>
      <c r="R263" s="201"/>
      <c r="S263" s="202"/>
      <c r="T263" s="187"/>
      <c r="U263" s="200"/>
      <c r="Z263" s="60"/>
      <c r="AA263" s="60"/>
      <c r="AB263" s="60"/>
      <c r="AC263" s="60"/>
      <c r="AD263" s="60"/>
      <c r="AE263" s="60"/>
      <c r="AF263" s="60"/>
      <c r="AG263" s="60"/>
      <c r="AH263" s="60"/>
      <c r="AI263" s="60"/>
      <c r="AJ263" s="60"/>
      <c r="AR263" s="60"/>
      <c r="AS263" s="60"/>
      <c r="AT263" s="60"/>
      <c r="AU263" s="60"/>
      <c r="AV263" s="60"/>
      <c r="AW263" s="60"/>
      <c r="AX263" s="60"/>
      <c r="AY263" s="60"/>
    </row>
    <row r="264" spans="2:51" s="59" customFormat="1" ht="15" customHeight="1">
      <c r="B264" s="203"/>
      <c r="D264" s="186"/>
      <c r="E264" s="197"/>
      <c r="F264" s="207"/>
      <c r="G264" s="198"/>
      <c r="H264" s="199"/>
      <c r="I264" s="199"/>
      <c r="J264" s="187"/>
      <c r="K264" s="200"/>
      <c r="L264" s="363"/>
      <c r="M264" s="369"/>
      <c r="N264" s="364"/>
      <c r="O264" s="725"/>
      <c r="P264" s="725"/>
      <c r="Q264" s="725"/>
      <c r="R264" s="201"/>
      <c r="S264" s="202"/>
      <c r="T264" s="187"/>
      <c r="U264" s="200"/>
      <c r="Z264" s="60"/>
      <c r="AA264" s="60"/>
      <c r="AB264" s="60"/>
      <c r="AC264" s="60"/>
      <c r="AD264" s="60"/>
      <c r="AE264" s="60"/>
      <c r="AF264" s="60"/>
      <c r="AG264" s="60"/>
      <c r="AH264" s="60"/>
      <c r="AI264" s="60"/>
      <c r="AJ264" s="60"/>
      <c r="AR264" s="60"/>
      <c r="AS264" s="60"/>
      <c r="AT264" s="60"/>
      <c r="AU264" s="60"/>
      <c r="AV264" s="60"/>
      <c r="AW264" s="60"/>
      <c r="AX264" s="60"/>
      <c r="AY264" s="60"/>
    </row>
    <row r="265" spans="2:51" s="59" customFormat="1" ht="15" customHeight="1">
      <c r="B265" s="203"/>
      <c r="D265" s="186"/>
      <c r="E265" s="197"/>
      <c r="F265" s="207"/>
      <c r="G265" s="198"/>
      <c r="H265" s="199"/>
      <c r="I265" s="199"/>
      <c r="J265" s="187"/>
      <c r="K265" s="200"/>
      <c r="L265" s="363"/>
      <c r="M265" s="369"/>
      <c r="N265" s="364"/>
      <c r="O265" s="725"/>
      <c r="P265" s="725"/>
      <c r="Q265" s="725"/>
      <c r="R265" s="201"/>
      <c r="S265" s="202"/>
      <c r="T265" s="187"/>
      <c r="U265" s="200"/>
      <c r="Z265" s="60"/>
      <c r="AA265" s="60"/>
      <c r="AB265" s="60"/>
      <c r="AC265" s="60"/>
      <c r="AD265" s="60"/>
      <c r="AE265" s="60"/>
      <c r="AF265" s="60"/>
      <c r="AG265" s="60"/>
      <c r="AH265" s="60"/>
      <c r="AI265" s="60"/>
      <c r="AJ265" s="60"/>
      <c r="AR265" s="60"/>
      <c r="AS265" s="60"/>
      <c r="AT265" s="60"/>
      <c r="AU265" s="60"/>
      <c r="AV265" s="60"/>
      <c r="AW265" s="60"/>
      <c r="AX265" s="60"/>
      <c r="AY265" s="60"/>
    </row>
    <row r="266" spans="2:51" s="59" customFormat="1" ht="15" customHeight="1">
      <c r="B266" s="203"/>
      <c r="D266" s="186"/>
      <c r="E266" s="197"/>
      <c r="F266" s="207"/>
      <c r="G266" s="198"/>
      <c r="H266" s="199"/>
      <c r="I266" s="199"/>
      <c r="J266" s="187"/>
      <c r="K266" s="200"/>
      <c r="L266" s="363"/>
      <c r="M266" s="369"/>
      <c r="N266" s="364"/>
      <c r="O266" s="725"/>
      <c r="P266" s="725"/>
      <c r="Q266" s="725"/>
      <c r="R266" s="201"/>
      <c r="S266" s="202"/>
      <c r="T266" s="187"/>
      <c r="U266" s="200"/>
      <c r="Z266" s="60"/>
      <c r="AA266" s="60"/>
      <c r="AB266" s="60"/>
      <c r="AC266" s="60"/>
      <c r="AD266" s="60"/>
      <c r="AE266" s="60"/>
      <c r="AF266" s="60"/>
      <c r="AG266" s="60"/>
      <c r="AH266" s="60"/>
      <c r="AI266" s="60"/>
      <c r="AJ266" s="60"/>
      <c r="AR266" s="60"/>
      <c r="AS266" s="60"/>
      <c r="AT266" s="60"/>
      <c r="AU266" s="60"/>
      <c r="AV266" s="60"/>
      <c r="AW266" s="60"/>
      <c r="AX266" s="60"/>
      <c r="AY266" s="60"/>
    </row>
    <row r="267" spans="2:51" s="59" customFormat="1" ht="15" customHeight="1">
      <c r="B267" s="203"/>
      <c r="D267" s="186"/>
      <c r="E267" s="197"/>
      <c r="F267" s="207"/>
      <c r="G267" s="198"/>
      <c r="H267" s="199"/>
      <c r="I267" s="199"/>
      <c r="J267" s="187"/>
      <c r="K267" s="200"/>
      <c r="L267" s="363"/>
      <c r="M267" s="369"/>
      <c r="N267" s="364"/>
      <c r="O267" s="725"/>
      <c r="P267" s="725"/>
      <c r="Q267" s="725"/>
      <c r="R267" s="201"/>
      <c r="S267" s="202"/>
      <c r="T267" s="187"/>
      <c r="U267" s="200"/>
      <c r="Z267" s="60"/>
      <c r="AA267" s="60"/>
      <c r="AB267" s="60"/>
      <c r="AC267" s="60"/>
      <c r="AD267" s="60"/>
      <c r="AE267" s="60"/>
      <c r="AF267" s="60"/>
      <c r="AG267" s="60"/>
      <c r="AH267" s="60"/>
      <c r="AI267" s="60"/>
      <c r="AJ267" s="60"/>
      <c r="AR267" s="60"/>
      <c r="AS267" s="60"/>
      <c r="AT267" s="60"/>
      <c r="AU267" s="60"/>
      <c r="AV267" s="60"/>
      <c r="AW267" s="60"/>
      <c r="AX267" s="60"/>
      <c r="AY267" s="60"/>
    </row>
    <row r="268" spans="2:51" s="59" customFormat="1" ht="15" customHeight="1">
      <c r="B268" s="203"/>
      <c r="D268" s="186"/>
      <c r="E268" s="197"/>
      <c r="F268" s="207"/>
      <c r="G268" s="198"/>
      <c r="H268" s="199"/>
      <c r="I268" s="199"/>
      <c r="J268" s="187"/>
      <c r="K268" s="200"/>
      <c r="L268" s="363"/>
      <c r="M268" s="369"/>
      <c r="N268" s="364"/>
      <c r="O268" s="725"/>
      <c r="P268" s="725"/>
      <c r="Q268" s="725"/>
      <c r="R268" s="201"/>
      <c r="S268" s="202"/>
      <c r="T268" s="187"/>
      <c r="U268" s="200"/>
      <c r="Z268" s="60"/>
      <c r="AA268" s="60"/>
      <c r="AB268" s="60"/>
      <c r="AC268" s="60"/>
      <c r="AD268" s="60"/>
      <c r="AE268" s="60"/>
      <c r="AF268" s="60"/>
      <c r="AG268" s="60"/>
      <c r="AH268" s="60"/>
      <c r="AI268" s="60"/>
      <c r="AJ268" s="60"/>
      <c r="AR268" s="60"/>
      <c r="AS268" s="60"/>
      <c r="AT268" s="60"/>
      <c r="AU268" s="60"/>
      <c r="AV268" s="60"/>
      <c r="AW268" s="60"/>
      <c r="AX268" s="60"/>
      <c r="AY268" s="60"/>
    </row>
    <row r="269" spans="2:51" s="59" customFormat="1" ht="15" customHeight="1">
      <c r="B269" s="203"/>
      <c r="D269" s="186"/>
      <c r="E269" s="197"/>
      <c r="F269" s="207"/>
      <c r="G269" s="198"/>
      <c r="H269" s="199"/>
      <c r="I269" s="199"/>
      <c r="J269" s="187"/>
      <c r="K269" s="200"/>
      <c r="L269" s="363"/>
      <c r="M269" s="369"/>
      <c r="N269" s="364"/>
      <c r="O269" s="725"/>
      <c r="P269" s="725"/>
      <c r="Q269" s="725"/>
      <c r="R269" s="201"/>
      <c r="S269" s="202"/>
      <c r="T269" s="187"/>
      <c r="U269" s="200"/>
      <c r="Z269" s="60"/>
      <c r="AA269" s="60"/>
      <c r="AB269" s="60"/>
      <c r="AC269" s="60"/>
      <c r="AD269" s="60"/>
      <c r="AE269" s="60"/>
      <c r="AF269" s="60"/>
      <c r="AG269" s="60"/>
      <c r="AH269" s="60"/>
      <c r="AI269" s="60"/>
      <c r="AJ269" s="60"/>
      <c r="AR269" s="60"/>
      <c r="AS269" s="60"/>
      <c r="AT269" s="60"/>
      <c r="AU269" s="60"/>
      <c r="AV269" s="60"/>
      <c r="AW269" s="60"/>
      <c r="AX269" s="60"/>
      <c r="AY269" s="60"/>
    </row>
    <row r="270" spans="2:51" s="59" customFormat="1" ht="15" customHeight="1">
      <c r="B270" s="203"/>
      <c r="D270" s="186"/>
      <c r="E270" s="197"/>
      <c r="F270" s="207"/>
      <c r="G270" s="198"/>
      <c r="H270" s="199"/>
      <c r="I270" s="199"/>
      <c r="J270" s="187"/>
      <c r="K270" s="200"/>
      <c r="L270" s="363"/>
      <c r="M270" s="369"/>
      <c r="N270" s="364"/>
      <c r="O270" s="725"/>
      <c r="P270" s="725"/>
      <c r="Q270" s="725"/>
      <c r="R270" s="201"/>
      <c r="S270" s="202"/>
      <c r="T270" s="187"/>
      <c r="U270" s="200"/>
      <c r="Z270" s="60"/>
      <c r="AA270" s="60"/>
      <c r="AB270" s="60"/>
      <c r="AC270" s="60"/>
      <c r="AD270" s="60"/>
      <c r="AE270" s="60"/>
      <c r="AF270" s="60"/>
      <c r="AG270" s="60"/>
      <c r="AH270" s="60"/>
      <c r="AI270" s="60"/>
      <c r="AJ270" s="60"/>
      <c r="AR270" s="60"/>
      <c r="AS270" s="60"/>
      <c r="AT270" s="60"/>
      <c r="AU270" s="60"/>
      <c r="AV270" s="60"/>
      <c r="AW270" s="60"/>
      <c r="AX270" s="60"/>
      <c r="AY270" s="60"/>
    </row>
    <row r="271" spans="2:51" s="59" customFormat="1" ht="15" customHeight="1">
      <c r="B271" s="203"/>
      <c r="D271" s="186"/>
      <c r="E271" s="197"/>
      <c r="F271" s="207"/>
      <c r="G271" s="198"/>
      <c r="H271" s="199"/>
      <c r="I271" s="199"/>
      <c r="J271" s="187"/>
      <c r="K271" s="200"/>
      <c r="L271" s="363"/>
      <c r="M271" s="369"/>
      <c r="N271" s="364"/>
      <c r="O271" s="725"/>
      <c r="P271" s="725"/>
      <c r="Q271" s="725"/>
      <c r="R271" s="201"/>
      <c r="S271" s="202"/>
      <c r="T271" s="187"/>
      <c r="U271" s="200"/>
      <c r="Z271" s="60"/>
      <c r="AA271" s="60"/>
      <c r="AB271" s="60"/>
      <c r="AC271" s="60"/>
      <c r="AD271" s="60"/>
      <c r="AE271" s="60"/>
      <c r="AF271" s="60"/>
      <c r="AG271" s="60"/>
      <c r="AH271" s="60"/>
      <c r="AI271" s="60"/>
      <c r="AJ271" s="60"/>
      <c r="AR271" s="60"/>
      <c r="AS271" s="60"/>
      <c r="AT271" s="60"/>
      <c r="AU271" s="60"/>
      <c r="AV271" s="60"/>
      <c r="AW271" s="60"/>
      <c r="AX271" s="60"/>
      <c r="AY271" s="60"/>
    </row>
    <row r="272" spans="2:51" s="183" customFormat="1" ht="15" customHeight="1">
      <c r="B272" s="203"/>
      <c r="C272" s="59"/>
      <c r="D272" s="186"/>
      <c r="E272" s="197"/>
      <c r="F272" s="207"/>
      <c r="G272" s="198"/>
      <c r="H272" s="199"/>
      <c r="I272" s="199"/>
      <c r="J272" s="187"/>
      <c r="K272" s="200"/>
      <c r="L272" s="363"/>
      <c r="M272" s="369"/>
      <c r="N272" s="364"/>
      <c r="O272" s="725"/>
      <c r="P272" s="725"/>
      <c r="Q272" s="725"/>
      <c r="R272" s="201"/>
      <c r="S272" s="202"/>
      <c r="T272" s="187"/>
      <c r="U272" s="200"/>
      <c r="V272" s="59"/>
      <c r="Z272" s="108"/>
      <c r="AA272" s="60"/>
      <c r="AB272" s="60"/>
      <c r="AC272" s="60"/>
      <c r="AD272" s="60"/>
      <c r="AE272" s="60"/>
      <c r="AF272" s="60"/>
      <c r="AG272" s="60"/>
      <c r="AH272" s="60"/>
      <c r="AI272" s="108"/>
      <c r="AJ272" s="108"/>
      <c r="AK272" s="204"/>
      <c r="AL272" s="204"/>
      <c r="AM272" s="204"/>
      <c r="AN272" s="204"/>
      <c r="AO272" s="204"/>
      <c r="AP272" s="204"/>
      <c r="AR272" s="108"/>
      <c r="AS272" s="108"/>
      <c r="AT272" s="108"/>
      <c r="AU272" s="108"/>
      <c r="AV272" s="108"/>
      <c r="AW272" s="108"/>
      <c r="AX272" s="108"/>
      <c r="AY272" s="108"/>
    </row>
    <row r="273" spans="2:51" s="59" customFormat="1" ht="15" customHeight="1">
      <c r="B273" s="203"/>
      <c r="D273" s="186"/>
      <c r="E273" s="197"/>
      <c r="F273" s="207"/>
      <c r="G273" s="198"/>
      <c r="H273" s="199"/>
      <c r="I273" s="199"/>
      <c r="J273" s="187"/>
      <c r="K273" s="200"/>
      <c r="L273" s="363"/>
      <c r="M273" s="369"/>
      <c r="N273" s="364"/>
      <c r="O273" s="725"/>
      <c r="P273" s="725"/>
      <c r="Q273" s="725"/>
      <c r="R273" s="201"/>
      <c r="S273" s="202"/>
      <c r="T273" s="187"/>
      <c r="U273" s="200"/>
      <c r="Z273" s="60"/>
      <c r="AA273" s="60"/>
      <c r="AB273" s="60"/>
      <c r="AC273" s="60"/>
      <c r="AD273" s="60"/>
      <c r="AE273" s="60"/>
      <c r="AF273" s="60"/>
      <c r="AG273" s="60"/>
      <c r="AH273" s="60"/>
      <c r="AI273" s="60"/>
      <c r="AJ273" s="60"/>
      <c r="AR273" s="60"/>
      <c r="AS273" s="60"/>
      <c r="AT273" s="60"/>
      <c r="AU273" s="60"/>
      <c r="AV273" s="60"/>
      <c r="AW273" s="60"/>
      <c r="AX273" s="60"/>
      <c r="AY273" s="60"/>
    </row>
    <row r="274" spans="2:51" s="59" customFormat="1" ht="15" customHeight="1">
      <c r="B274" s="203"/>
      <c r="D274" s="186"/>
      <c r="E274" s="197"/>
      <c r="F274" s="207"/>
      <c r="G274" s="198"/>
      <c r="H274" s="199"/>
      <c r="I274" s="199"/>
      <c r="J274" s="187"/>
      <c r="K274" s="200"/>
      <c r="L274" s="363"/>
      <c r="M274" s="369"/>
      <c r="N274" s="364"/>
      <c r="O274" s="725"/>
      <c r="P274" s="725"/>
      <c r="Q274" s="725"/>
      <c r="R274" s="201"/>
      <c r="S274" s="202"/>
      <c r="T274" s="187"/>
      <c r="U274" s="200"/>
      <c r="Z274" s="60"/>
      <c r="AA274" s="60"/>
      <c r="AB274" s="60"/>
      <c r="AC274" s="60"/>
      <c r="AD274" s="60"/>
      <c r="AE274" s="60"/>
      <c r="AF274" s="60"/>
      <c r="AG274" s="60"/>
      <c r="AH274" s="60"/>
      <c r="AI274" s="60"/>
      <c r="AJ274" s="60"/>
      <c r="AR274" s="60"/>
      <c r="AS274" s="60"/>
      <c r="AT274" s="60"/>
      <c r="AU274" s="60"/>
      <c r="AV274" s="60"/>
      <c r="AW274" s="60"/>
      <c r="AX274" s="60"/>
      <c r="AY274" s="60"/>
    </row>
    <row r="275" spans="2:51" s="59" customFormat="1" ht="15" customHeight="1">
      <c r="B275" s="203"/>
      <c r="D275" s="186"/>
      <c r="E275" s="201"/>
      <c r="F275" s="187"/>
      <c r="G275" s="187"/>
      <c r="H275" s="187"/>
      <c r="I275" s="187"/>
      <c r="J275" s="187"/>
      <c r="K275" s="188"/>
      <c r="L275" s="363"/>
      <c r="M275" s="364"/>
      <c r="N275" s="364"/>
      <c r="O275" s="365"/>
      <c r="P275" s="365"/>
      <c r="Q275" s="188"/>
      <c r="R275" s="201"/>
      <c r="S275" s="187"/>
      <c r="T275" s="187"/>
      <c r="U275" s="188"/>
      <c r="Z275" s="60"/>
      <c r="AA275" s="60"/>
      <c r="AB275" s="60"/>
      <c r="AC275" s="60"/>
      <c r="AD275" s="60"/>
      <c r="AE275" s="60"/>
      <c r="AF275" s="60"/>
      <c r="AG275" s="60"/>
      <c r="AH275" s="60"/>
      <c r="AI275" s="60"/>
      <c r="AJ275" s="60"/>
      <c r="AR275" s="60"/>
      <c r="AS275" s="60"/>
      <c r="AT275" s="60"/>
      <c r="AU275" s="60"/>
      <c r="AV275" s="60"/>
      <c r="AW275" s="60"/>
      <c r="AX275" s="60"/>
      <c r="AY275" s="60"/>
    </row>
    <row r="276" spans="2:51" s="59" customFormat="1" ht="15" customHeight="1">
      <c r="B276" s="203"/>
      <c r="D276" s="186"/>
      <c r="E276" s="201"/>
      <c r="F276" s="199"/>
      <c r="G276" s="199"/>
      <c r="H276" s="199"/>
      <c r="I276" s="199"/>
      <c r="J276" s="199"/>
      <c r="K276" s="188"/>
      <c r="L276" s="363"/>
      <c r="M276" s="366"/>
      <c r="N276" s="366"/>
      <c r="O276" s="365"/>
      <c r="P276" s="365"/>
      <c r="Q276" s="188"/>
      <c r="R276" s="201"/>
      <c r="S276" s="199"/>
      <c r="T276" s="199"/>
      <c r="U276" s="188"/>
      <c r="Z276" s="60"/>
      <c r="AA276" s="60"/>
      <c r="AB276" s="60"/>
      <c r="AC276" s="60"/>
      <c r="AD276" s="60"/>
      <c r="AE276" s="60"/>
      <c r="AF276" s="60"/>
      <c r="AG276" s="60"/>
      <c r="AH276" s="60"/>
      <c r="AI276" s="60"/>
      <c r="AJ276" s="60"/>
      <c r="AR276" s="60"/>
      <c r="AS276" s="60"/>
      <c r="AT276" s="60"/>
      <c r="AU276" s="60"/>
      <c r="AV276" s="60"/>
      <c r="AW276" s="60"/>
      <c r="AX276" s="60"/>
      <c r="AY276" s="60"/>
    </row>
    <row r="277" spans="2:51" s="59" customFormat="1" ht="15" customHeight="1">
      <c r="B277" s="203"/>
      <c r="D277" s="186"/>
      <c r="E277" s="201"/>
      <c r="F277" s="199"/>
      <c r="G277" s="199"/>
      <c r="H277" s="199"/>
      <c r="I277" s="199"/>
      <c r="J277" s="199"/>
      <c r="K277" s="188"/>
      <c r="L277" s="363"/>
      <c r="M277" s="366"/>
      <c r="N277" s="366"/>
      <c r="O277" s="365"/>
      <c r="P277" s="365"/>
      <c r="Q277" s="188"/>
      <c r="R277" s="201"/>
      <c r="S277" s="199"/>
      <c r="T277" s="199"/>
      <c r="U277" s="188"/>
      <c r="Z277" s="60"/>
      <c r="AA277" s="60"/>
      <c r="AB277" s="60"/>
      <c r="AC277" s="60"/>
      <c r="AD277" s="60"/>
      <c r="AE277" s="60"/>
      <c r="AF277" s="60"/>
      <c r="AG277" s="60"/>
      <c r="AH277" s="60"/>
      <c r="AI277" s="60"/>
      <c r="AJ277" s="60"/>
      <c r="AR277" s="60"/>
      <c r="AS277" s="60"/>
      <c r="AT277" s="60"/>
      <c r="AU277" s="60"/>
      <c r="AV277" s="60"/>
      <c r="AW277" s="60"/>
      <c r="AX277" s="60"/>
      <c r="AY277" s="60"/>
    </row>
    <row r="278" spans="2:51" s="59" customFormat="1" ht="15" customHeight="1">
      <c r="B278" s="203"/>
      <c r="D278" s="186"/>
      <c r="E278" s="201"/>
      <c r="F278" s="201"/>
      <c r="G278" s="201"/>
      <c r="H278" s="201"/>
      <c r="I278" s="201"/>
      <c r="J278" s="201"/>
      <c r="K278" s="188"/>
      <c r="L278" s="363"/>
      <c r="M278" s="363"/>
      <c r="N278" s="363"/>
      <c r="O278" s="365"/>
      <c r="P278" s="365"/>
      <c r="Q278" s="188"/>
      <c r="R278" s="201"/>
      <c r="S278" s="201"/>
      <c r="T278" s="201"/>
      <c r="U278" s="188"/>
      <c r="Z278" s="60"/>
      <c r="AA278" s="60"/>
      <c r="AB278" s="60"/>
      <c r="AC278" s="60"/>
      <c r="AD278" s="60"/>
      <c r="AE278" s="60"/>
      <c r="AF278" s="60"/>
      <c r="AG278" s="60"/>
      <c r="AH278" s="60"/>
      <c r="AI278" s="60"/>
      <c r="AJ278" s="60"/>
      <c r="AR278" s="60"/>
      <c r="AS278" s="60"/>
      <c r="AT278" s="60"/>
      <c r="AU278" s="60"/>
      <c r="AV278" s="60"/>
      <c r="AW278" s="60"/>
      <c r="AX278" s="60"/>
      <c r="AY278" s="60"/>
    </row>
    <row r="279" spans="2:51" s="59" customFormat="1" ht="15" customHeight="1">
      <c r="B279" s="194"/>
      <c r="C279" s="183"/>
      <c r="D279" s="726"/>
      <c r="E279" s="726"/>
      <c r="F279" s="726"/>
      <c r="G279" s="726"/>
      <c r="H279" s="189"/>
      <c r="I279" s="189"/>
      <c r="J279" s="189"/>
      <c r="K279" s="195"/>
      <c r="L279" s="367"/>
      <c r="M279" s="367"/>
      <c r="N279" s="367"/>
      <c r="O279" s="368"/>
      <c r="P279" s="368"/>
      <c r="Q279" s="195"/>
      <c r="R279" s="196"/>
      <c r="S279" s="196"/>
      <c r="T279" s="196"/>
      <c r="U279" s="195"/>
      <c r="V279" s="183"/>
      <c r="Z279" s="60"/>
      <c r="AA279" s="60"/>
      <c r="AB279" s="60"/>
      <c r="AC279" s="60"/>
      <c r="AD279" s="60"/>
      <c r="AE279" s="60"/>
      <c r="AF279" s="60"/>
      <c r="AG279" s="60"/>
      <c r="AH279" s="60"/>
      <c r="AI279" s="60"/>
      <c r="AJ279" s="60"/>
      <c r="AR279" s="60"/>
      <c r="AS279" s="60"/>
      <c r="AT279" s="60"/>
      <c r="AU279" s="60"/>
      <c r="AV279" s="60"/>
      <c r="AW279" s="60"/>
      <c r="AX279" s="60"/>
      <c r="AY279" s="60"/>
    </row>
    <row r="280" spans="2:51" s="59" customFormat="1" ht="15" customHeight="1">
      <c r="B280" s="184"/>
      <c r="C280" s="185"/>
      <c r="D280" s="186"/>
      <c r="E280" s="197"/>
      <c r="F280" s="207"/>
      <c r="G280" s="198"/>
      <c r="H280" s="199"/>
      <c r="I280" s="199"/>
      <c r="J280" s="187"/>
      <c r="K280" s="200"/>
      <c r="L280" s="363"/>
      <c r="M280" s="369"/>
      <c r="N280" s="364"/>
      <c r="O280" s="725"/>
      <c r="P280" s="725"/>
      <c r="Q280" s="725"/>
      <c r="R280" s="201"/>
      <c r="S280" s="202"/>
      <c r="T280" s="187"/>
      <c r="U280" s="200"/>
      <c r="Z280" s="60"/>
      <c r="AA280" s="60"/>
      <c r="AB280" s="60"/>
      <c r="AC280" s="60"/>
      <c r="AD280" s="60"/>
      <c r="AE280" s="60"/>
      <c r="AF280" s="60"/>
      <c r="AG280" s="60"/>
      <c r="AH280" s="60"/>
      <c r="AI280" s="60"/>
      <c r="AJ280" s="60"/>
      <c r="AR280" s="60"/>
      <c r="AS280" s="60"/>
      <c r="AT280" s="60"/>
      <c r="AU280" s="60"/>
      <c r="AV280" s="60"/>
      <c r="AW280" s="60"/>
      <c r="AX280" s="60"/>
      <c r="AY280" s="60"/>
    </row>
    <row r="281" spans="2:51" s="59" customFormat="1" ht="15" customHeight="1">
      <c r="B281" s="184"/>
      <c r="D281" s="186"/>
      <c r="E281" s="197"/>
      <c r="F281" s="207"/>
      <c r="G281" s="198"/>
      <c r="H281" s="199"/>
      <c r="I281" s="199"/>
      <c r="J281" s="187"/>
      <c r="K281" s="200"/>
      <c r="L281" s="363"/>
      <c r="M281" s="369"/>
      <c r="N281" s="364"/>
      <c r="O281" s="725"/>
      <c r="P281" s="725"/>
      <c r="Q281" s="725"/>
      <c r="R281" s="201"/>
      <c r="S281" s="202"/>
      <c r="T281" s="187"/>
      <c r="U281" s="200"/>
      <c r="Z281" s="60"/>
      <c r="AA281" s="60"/>
      <c r="AB281" s="60"/>
      <c r="AC281" s="60"/>
      <c r="AD281" s="60"/>
      <c r="AE281" s="60"/>
      <c r="AF281" s="60"/>
      <c r="AG281" s="60"/>
      <c r="AH281" s="60"/>
      <c r="AI281" s="60"/>
      <c r="AJ281" s="60"/>
      <c r="AR281" s="60"/>
      <c r="AS281" s="60"/>
      <c r="AT281" s="60"/>
      <c r="AU281" s="60"/>
      <c r="AV281" s="60"/>
      <c r="AW281" s="60"/>
      <c r="AX281" s="60"/>
      <c r="AY281" s="60"/>
    </row>
    <row r="282" spans="2:51" s="59" customFormat="1" ht="15" customHeight="1">
      <c r="B282" s="184"/>
      <c r="D282" s="186"/>
      <c r="E282" s="197"/>
      <c r="F282" s="207"/>
      <c r="G282" s="198"/>
      <c r="H282" s="199"/>
      <c r="I282" s="199"/>
      <c r="J282" s="187"/>
      <c r="K282" s="200"/>
      <c r="L282" s="363"/>
      <c r="M282" s="369"/>
      <c r="N282" s="364"/>
      <c r="O282" s="725"/>
      <c r="P282" s="725"/>
      <c r="Q282" s="725"/>
      <c r="R282" s="201"/>
      <c r="S282" s="202"/>
      <c r="T282" s="187"/>
      <c r="U282" s="200"/>
      <c r="Z282" s="60"/>
      <c r="AA282" s="60"/>
      <c r="AB282" s="60"/>
      <c r="AC282" s="60"/>
      <c r="AD282" s="60"/>
      <c r="AE282" s="60"/>
      <c r="AF282" s="60"/>
      <c r="AG282" s="60"/>
      <c r="AH282" s="60"/>
      <c r="AI282" s="60"/>
      <c r="AJ282" s="60"/>
      <c r="AR282" s="60"/>
      <c r="AS282" s="60"/>
      <c r="AT282" s="60"/>
      <c r="AU282" s="60"/>
      <c r="AV282" s="60"/>
      <c r="AW282" s="60"/>
      <c r="AX282" s="60"/>
      <c r="AY282" s="60"/>
    </row>
    <row r="283" spans="2:51" s="59" customFormat="1" ht="15" customHeight="1">
      <c r="B283" s="184"/>
      <c r="D283" s="186"/>
      <c r="E283" s="197"/>
      <c r="F283" s="207"/>
      <c r="G283" s="198"/>
      <c r="H283" s="199"/>
      <c r="I283" s="199"/>
      <c r="J283" s="187"/>
      <c r="K283" s="200"/>
      <c r="L283" s="363"/>
      <c r="M283" s="369"/>
      <c r="N283" s="364"/>
      <c r="O283" s="725"/>
      <c r="P283" s="725"/>
      <c r="Q283" s="725"/>
      <c r="R283" s="201"/>
      <c r="S283" s="202"/>
      <c r="T283" s="187"/>
      <c r="U283" s="200"/>
      <c r="Z283" s="60"/>
      <c r="AA283" s="60"/>
      <c r="AB283" s="60"/>
      <c r="AC283" s="60"/>
      <c r="AD283" s="60"/>
      <c r="AE283" s="60"/>
      <c r="AF283" s="60"/>
      <c r="AG283" s="60"/>
      <c r="AH283" s="60"/>
      <c r="AI283" s="60"/>
      <c r="AJ283" s="60"/>
      <c r="AR283" s="60"/>
      <c r="AS283" s="60"/>
      <c r="AT283" s="60"/>
      <c r="AU283" s="60"/>
      <c r="AV283" s="60"/>
      <c r="AW283" s="60"/>
      <c r="AX283" s="60"/>
      <c r="AY283" s="60"/>
    </row>
    <row r="284" spans="2:51" s="59" customFormat="1" ht="15" customHeight="1">
      <c r="B284" s="184"/>
      <c r="D284" s="186"/>
      <c r="E284" s="197"/>
      <c r="F284" s="207"/>
      <c r="G284" s="198"/>
      <c r="H284" s="199"/>
      <c r="I284" s="199"/>
      <c r="J284" s="187"/>
      <c r="K284" s="200"/>
      <c r="L284" s="363"/>
      <c r="M284" s="369"/>
      <c r="N284" s="364"/>
      <c r="O284" s="725"/>
      <c r="P284" s="725"/>
      <c r="Q284" s="725"/>
      <c r="R284" s="201"/>
      <c r="S284" s="202"/>
      <c r="T284" s="187"/>
      <c r="U284" s="200"/>
      <c r="Z284" s="60"/>
      <c r="AA284" s="60"/>
      <c r="AB284" s="60"/>
      <c r="AC284" s="60"/>
      <c r="AD284" s="60"/>
      <c r="AE284" s="60"/>
      <c r="AF284" s="60"/>
      <c r="AG284" s="60"/>
      <c r="AH284" s="60"/>
      <c r="AI284" s="60"/>
      <c r="AJ284" s="60"/>
      <c r="AR284" s="60"/>
      <c r="AS284" s="60"/>
      <c r="AT284" s="60"/>
      <c r="AU284" s="60"/>
      <c r="AV284" s="60"/>
      <c r="AW284" s="60"/>
      <c r="AX284" s="60"/>
      <c r="AY284" s="60"/>
    </row>
    <row r="285" spans="2:51" s="59" customFormat="1" ht="15" customHeight="1">
      <c r="B285" s="184"/>
      <c r="D285" s="186"/>
      <c r="E285" s="197"/>
      <c r="F285" s="207"/>
      <c r="G285" s="198"/>
      <c r="H285" s="199"/>
      <c r="I285" s="199"/>
      <c r="J285" s="187"/>
      <c r="K285" s="200"/>
      <c r="L285" s="363"/>
      <c r="M285" s="369"/>
      <c r="N285" s="364"/>
      <c r="O285" s="725"/>
      <c r="P285" s="725"/>
      <c r="Q285" s="725"/>
      <c r="R285" s="201"/>
      <c r="S285" s="202"/>
      <c r="T285" s="187"/>
      <c r="U285" s="200"/>
      <c r="Z285" s="60"/>
      <c r="AA285" s="60"/>
      <c r="AB285" s="60"/>
      <c r="AC285" s="60"/>
      <c r="AD285" s="60"/>
      <c r="AE285" s="60"/>
      <c r="AF285" s="60"/>
      <c r="AG285" s="60"/>
      <c r="AH285" s="60"/>
      <c r="AI285" s="60"/>
      <c r="AJ285" s="60"/>
      <c r="AR285" s="60"/>
      <c r="AS285" s="60"/>
      <c r="AT285" s="60"/>
      <c r="AU285" s="60"/>
      <c r="AV285" s="60"/>
      <c r="AW285" s="60"/>
      <c r="AX285" s="60"/>
      <c r="AY285" s="60"/>
    </row>
    <row r="286" spans="2:51" s="59" customFormat="1" ht="15" customHeight="1">
      <c r="B286" s="184"/>
      <c r="D286" s="186"/>
      <c r="E286" s="197"/>
      <c r="F286" s="207"/>
      <c r="G286" s="198"/>
      <c r="H286" s="199"/>
      <c r="I286" s="199"/>
      <c r="J286" s="187"/>
      <c r="K286" s="200"/>
      <c r="L286" s="363"/>
      <c r="M286" s="369"/>
      <c r="N286" s="364"/>
      <c r="O286" s="725"/>
      <c r="P286" s="725"/>
      <c r="Q286" s="725"/>
      <c r="R286" s="201"/>
      <c r="S286" s="202"/>
      <c r="T286" s="187"/>
      <c r="U286" s="200"/>
      <c r="Z286" s="60"/>
      <c r="AA286" s="60"/>
      <c r="AB286" s="60"/>
      <c r="AC286" s="60"/>
      <c r="AD286" s="60"/>
      <c r="AE286" s="60"/>
      <c r="AF286" s="60"/>
      <c r="AG286" s="60"/>
      <c r="AH286" s="60"/>
      <c r="AI286" s="60"/>
      <c r="AJ286" s="60"/>
      <c r="AR286" s="60"/>
      <c r="AS286" s="60"/>
      <c r="AT286" s="60"/>
      <c r="AU286" s="60"/>
      <c r="AV286" s="60"/>
      <c r="AW286" s="60"/>
      <c r="AX286" s="60"/>
      <c r="AY286" s="60"/>
    </row>
    <row r="287" spans="2:51" s="59" customFormat="1" ht="15" customHeight="1">
      <c r="B287" s="184"/>
      <c r="D287" s="186"/>
      <c r="E287" s="197"/>
      <c r="F287" s="207"/>
      <c r="G287" s="198"/>
      <c r="H287" s="199"/>
      <c r="I287" s="199"/>
      <c r="J287" s="187"/>
      <c r="K287" s="200"/>
      <c r="L287" s="363"/>
      <c r="M287" s="369"/>
      <c r="N287" s="364"/>
      <c r="O287" s="725"/>
      <c r="P287" s="725"/>
      <c r="Q287" s="725"/>
      <c r="R287" s="201"/>
      <c r="S287" s="202"/>
      <c r="T287" s="187"/>
      <c r="U287" s="200"/>
      <c r="Z287" s="60"/>
      <c r="AA287" s="60"/>
      <c r="AB287" s="60"/>
      <c r="AC287" s="60"/>
      <c r="AD287" s="60"/>
      <c r="AE287" s="60"/>
      <c r="AF287" s="60"/>
      <c r="AG287" s="60"/>
      <c r="AH287" s="60"/>
      <c r="AI287" s="60"/>
      <c r="AJ287" s="60"/>
      <c r="AR287" s="60"/>
      <c r="AS287" s="60"/>
      <c r="AT287" s="60"/>
      <c r="AU287" s="60"/>
      <c r="AV287" s="60"/>
      <c r="AW287" s="60"/>
      <c r="AX287" s="60"/>
      <c r="AY287" s="60"/>
    </row>
    <row r="288" spans="2:51" s="59" customFormat="1" ht="15" customHeight="1">
      <c r="B288" s="184"/>
      <c r="D288" s="186"/>
      <c r="E288" s="197"/>
      <c r="F288" s="207"/>
      <c r="G288" s="198"/>
      <c r="H288" s="199"/>
      <c r="I288" s="199"/>
      <c r="J288" s="187"/>
      <c r="K288" s="200"/>
      <c r="L288" s="363"/>
      <c r="M288" s="369"/>
      <c r="N288" s="364"/>
      <c r="O288" s="725"/>
      <c r="P288" s="725"/>
      <c r="Q288" s="725"/>
      <c r="R288" s="201"/>
      <c r="S288" s="202"/>
      <c r="T288" s="187"/>
      <c r="U288" s="200"/>
      <c r="Z288" s="60"/>
      <c r="AA288" s="60"/>
      <c r="AB288" s="60"/>
      <c r="AC288" s="60"/>
      <c r="AD288" s="60"/>
      <c r="AE288" s="60"/>
      <c r="AF288" s="60"/>
      <c r="AG288" s="60"/>
      <c r="AH288" s="60"/>
      <c r="AI288" s="60"/>
      <c r="AJ288" s="60"/>
      <c r="AR288" s="60"/>
      <c r="AS288" s="60"/>
      <c r="AT288" s="60"/>
      <c r="AU288" s="60"/>
      <c r="AV288" s="60"/>
      <c r="AW288" s="60"/>
      <c r="AX288" s="60"/>
      <c r="AY288" s="60"/>
    </row>
    <row r="289" spans="2:51" s="59" customFormat="1" ht="15" customHeight="1">
      <c r="B289" s="184"/>
      <c r="D289" s="186"/>
      <c r="E289" s="197"/>
      <c r="F289" s="207"/>
      <c r="G289" s="198"/>
      <c r="H289" s="199"/>
      <c r="I289" s="199"/>
      <c r="J289" s="187"/>
      <c r="K289" s="200"/>
      <c r="L289" s="363"/>
      <c r="M289" s="369"/>
      <c r="N289" s="364"/>
      <c r="O289" s="725"/>
      <c r="P289" s="725"/>
      <c r="Q289" s="725"/>
      <c r="R289" s="201"/>
      <c r="S289" s="202"/>
      <c r="T289" s="187"/>
      <c r="U289" s="200"/>
      <c r="Z289" s="60"/>
      <c r="AA289" s="60"/>
      <c r="AB289" s="60"/>
      <c r="AC289" s="60"/>
      <c r="AD289" s="60"/>
      <c r="AE289" s="60"/>
      <c r="AF289" s="60"/>
      <c r="AG289" s="60"/>
      <c r="AH289" s="60"/>
      <c r="AI289" s="60"/>
      <c r="AJ289" s="60"/>
      <c r="AR289" s="60"/>
      <c r="AS289" s="60"/>
      <c r="AT289" s="60"/>
      <c r="AU289" s="60"/>
      <c r="AV289" s="60"/>
      <c r="AW289" s="60"/>
      <c r="AX289" s="60"/>
      <c r="AY289" s="60"/>
    </row>
    <row r="290" spans="2:51" s="59" customFormat="1" ht="15" customHeight="1">
      <c r="B290" s="184"/>
      <c r="D290" s="186"/>
      <c r="E290" s="197"/>
      <c r="F290" s="207"/>
      <c r="G290" s="198"/>
      <c r="H290" s="199"/>
      <c r="I290" s="199"/>
      <c r="J290" s="187"/>
      <c r="K290" s="200"/>
      <c r="L290" s="363"/>
      <c r="M290" s="369"/>
      <c r="N290" s="364"/>
      <c r="O290" s="725"/>
      <c r="P290" s="725"/>
      <c r="Q290" s="725"/>
      <c r="R290" s="201"/>
      <c r="S290" s="202"/>
      <c r="T290" s="187"/>
      <c r="U290" s="200"/>
      <c r="Z290" s="60"/>
      <c r="AA290" s="60"/>
      <c r="AB290" s="60"/>
      <c r="AC290" s="60"/>
      <c r="AD290" s="60"/>
      <c r="AE290" s="60"/>
      <c r="AF290" s="60"/>
      <c r="AG290" s="60"/>
      <c r="AH290" s="60"/>
      <c r="AI290" s="60"/>
      <c r="AJ290" s="60"/>
      <c r="AR290" s="60"/>
      <c r="AS290" s="60"/>
      <c r="AT290" s="60"/>
      <c r="AU290" s="60"/>
      <c r="AV290" s="60"/>
      <c r="AW290" s="60"/>
      <c r="AX290" s="60"/>
      <c r="AY290" s="60"/>
    </row>
    <row r="291" spans="2:51" s="59" customFormat="1" ht="15" customHeight="1">
      <c r="B291" s="184"/>
      <c r="D291" s="186"/>
      <c r="E291" s="197"/>
      <c r="F291" s="207"/>
      <c r="G291" s="198"/>
      <c r="H291" s="199"/>
      <c r="I291" s="199"/>
      <c r="J291" s="187"/>
      <c r="K291" s="200"/>
      <c r="L291" s="363"/>
      <c r="M291" s="369"/>
      <c r="N291" s="364"/>
      <c r="O291" s="725"/>
      <c r="P291" s="725"/>
      <c r="Q291" s="725"/>
      <c r="R291" s="201"/>
      <c r="S291" s="202"/>
      <c r="T291" s="187"/>
      <c r="U291" s="200"/>
      <c r="Z291" s="60"/>
      <c r="AA291" s="60"/>
      <c r="AB291" s="60"/>
      <c r="AC291" s="60"/>
      <c r="AD291" s="60"/>
      <c r="AE291" s="60"/>
      <c r="AF291" s="60"/>
      <c r="AG291" s="60"/>
      <c r="AH291" s="60"/>
      <c r="AI291" s="60"/>
      <c r="AJ291" s="60"/>
      <c r="AR291" s="60"/>
      <c r="AS291" s="60"/>
      <c r="AT291" s="60"/>
      <c r="AU291" s="60"/>
      <c r="AV291" s="60"/>
      <c r="AW291" s="60"/>
      <c r="AX291" s="60"/>
      <c r="AY291" s="60"/>
    </row>
    <row r="292" spans="2:51" s="59" customFormat="1" ht="15" customHeight="1">
      <c r="B292" s="203"/>
      <c r="D292" s="186"/>
      <c r="E292" s="197"/>
      <c r="F292" s="207"/>
      <c r="G292" s="198"/>
      <c r="H292" s="199"/>
      <c r="I292" s="199"/>
      <c r="J292" s="187"/>
      <c r="K292" s="200"/>
      <c r="L292" s="363"/>
      <c r="M292" s="369"/>
      <c r="N292" s="364"/>
      <c r="O292" s="725"/>
      <c r="P292" s="725"/>
      <c r="Q292" s="725"/>
      <c r="R292" s="201"/>
      <c r="S292" s="202"/>
      <c r="T292" s="187"/>
      <c r="U292" s="200"/>
      <c r="Z292" s="60"/>
      <c r="AA292" s="60"/>
      <c r="AB292" s="60"/>
      <c r="AC292" s="60"/>
      <c r="AD292" s="60"/>
      <c r="AE292" s="60"/>
      <c r="AF292" s="60"/>
      <c r="AG292" s="60"/>
      <c r="AH292" s="60"/>
      <c r="AI292" s="60"/>
      <c r="AJ292" s="60"/>
      <c r="AR292" s="60"/>
      <c r="AS292" s="60"/>
      <c r="AT292" s="60"/>
      <c r="AU292" s="60"/>
      <c r="AV292" s="60"/>
      <c r="AW292" s="60"/>
      <c r="AX292" s="60"/>
      <c r="AY292" s="60"/>
    </row>
    <row r="293" spans="2:51" s="59" customFormat="1" ht="15" customHeight="1">
      <c r="B293" s="203"/>
      <c r="D293" s="186"/>
      <c r="E293" s="197"/>
      <c r="F293" s="207"/>
      <c r="G293" s="198"/>
      <c r="H293" s="199"/>
      <c r="I293" s="199"/>
      <c r="J293" s="187"/>
      <c r="K293" s="200"/>
      <c r="L293" s="363"/>
      <c r="M293" s="369"/>
      <c r="N293" s="364"/>
      <c r="O293" s="725"/>
      <c r="P293" s="725"/>
      <c r="Q293" s="725"/>
      <c r="R293" s="201"/>
      <c r="S293" s="202"/>
      <c r="T293" s="187"/>
      <c r="U293" s="200"/>
      <c r="Z293" s="60"/>
      <c r="AA293" s="60"/>
      <c r="AB293" s="60"/>
      <c r="AC293" s="60"/>
      <c r="AD293" s="60"/>
      <c r="AE293" s="60"/>
      <c r="AF293" s="60"/>
      <c r="AG293" s="60"/>
      <c r="AH293" s="60"/>
      <c r="AI293" s="60"/>
      <c r="AJ293" s="60"/>
      <c r="AR293" s="60"/>
      <c r="AS293" s="60"/>
      <c r="AT293" s="60"/>
      <c r="AU293" s="60"/>
      <c r="AV293" s="60"/>
      <c r="AW293" s="60"/>
      <c r="AX293" s="60"/>
      <c r="AY293" s="60"/>
    </row>
    <row r="294" spans="2:51" s="59" customFormat="1" ht="15" customHeight="1">
      <c r="B294" s="203"/>
      <c r="D294" s="186"/>
      <c r="E294" s="197"/>
      <c r="F294" s="207"/>
      <c r="G294" s="198"/>
      <c r="H294" s="199"/>
      <c r="I294" s="199"/>
      <c r="J294" s="187"/>
      <c r="K294" s="200"/>
      <c r="L294" s="363"/>
      <c r="M294" s="369"/>
      <c r="N294" s="364"/>
      <c r="O294" s="725"/>
      <c r="P294" s="725"/>
      <c r="Q294" s="725"/>
      <c r="R294" s="201"/>
      <c r="S294" s="202"/>
      <c r="T294" s="187"/>
      <c r="U294" s="200"/>
      <c r="Z294" s="60"/>
      <c r="AA294" s="60"/>
      <c r="AB294" s="60"/>
      <c r="AC294" s="60"/>
      <c r="AD294" s="60"/>
      <c r="AE294" s="60"/>
      <c r="AF294" s="60"/>
      <c r="AG294" s="60"/>
      <c r="AH294" s="60"/>
      <c r="AI294" s="60"/>
      <c r="AJ294" s="60"/>
      <c r="AR294" s="60"/>
      <c r="AS294" s="60"/>
      <c r="AT294" s="60"/>
      <c r="AU294" s="60"/>
      <c r="AV294" s="60"/>
      <c r="AW294" s="60"/>
      <c r="AX294" s="60"/>
      <c r="AY294" s="60"/>
    </row>
    <row r="295" spans="2:51" s="59" customFormat="1" ht="15" customHeight="1">
      <c r="B295" s="203"/>
      <c r="D295" s="186"/>
      <c r="E295" s="197"/>
      <c r="F295" s="207"/>
      <c r="G295" s="198"/>
      <c r="H295" s="199"/>
      <c r="I295" s="199"/>
      <c r="J295" s="187"/>
      <c r="K295" s="200"/>
      <c r="L295" s="363"/>
      <c r="M295" s="369"/>
      <c r="N295" s="364"/>
      <c r="O295" s="725"/>
      <c r="P295" s="725"/>
      <c r="Q295" s="725"/>
      <c r="R295" s="201"/>
      <c r="S295" s="202"/>
      <c r="T295" s="187"/>
      <c r="U295" s="200"/>
      <c r="Z295" s="60"/>
      <c r="AA295" s="60"/>
      <c r="AB295" s="60"/>
      <c r="AC295" s="60"/>
      <c r="AD295" s="60"/>
      <c r="AE295" s="60"/>
      <c r="AF295" s="60"/>
      <c r="AG295" s="60"/>
      <c r="AH295" s="60"/>
      <c r="AI295" s="60"/>
      <c r="AJ295" s="60"/>
      <c r="AR295" s="60"/>
      <c r="AS295" s="60"/>
      <c r="AT295" s="60"/>
      <c r="AU295" s="60"/>
      <c r="AV295" s="60"/>
      <c r="AW295" s="60"/>
      <c r="AX295" s="60"/>
      <c r="AY295" s="60"/>
    </row>
    <row r="296" spans="2:51" s="59" customFormat="1" ht="15" customHeight="1">
      <c r="B296" s="203"/>
      <c r="D296" s="186"/>
      <c r="E296" s="197"/>
      <c r="F296" s="207"/>
      <c r="G296" s="198"/>
      <c r="H296" s="199"/>
      <c r="I296" s="199"/>
      <c r="J296" s="187"/>
      <c r="K296" s="200"/>
      <c r="L296" s="363"/>
      <c r="M296" s="369"/>
      <c r="N296" s="364"/>
      <c r="O296" s="725"/>
      <c r="P296" s="725"/>
      <c r="Q296" s="725"/>
      <c r="R296" s="201"/>
      <c r="S296" s="202"/>
      <c r="T296" s="187"/>
      <c r="U296" s="200"/>
      <c r="Z296" s="60"/>
      <c r="AA296" s="60"/>
      <c r="AB296" s="60"/>
      <c r="AC296" s="60"/>
      <c r="AD296" s="60"/>
      <c r="AE296" s="60"/>
      <c r="AF296" s="60"/>
      <c r="AG296" s="60"/>
      <c r="AH296" s="60"/>
      <c r="AI296" s="60"/>
      <c r="AJ296" s="60"/>
      <c r="AR296" s="60"/>
      <c r="AS296" s="60"/>
      <c r="AT296" s="60"/>
      <c r="AU296" s="60"/>
      <c r="AV296" s="60"/>
      <c r="AW296" s="60"/>
      <c r="AX296" s="60"/>
      <c r="AY296" s="60"/>
    </row>
    <row r="297" spans="2:51" s="59" customFormat="1" ht="15" customHeight="1">
      <c r="B297" s="203"/>
      <c r="D297" s="186"/>
      <c r="E297" s="197"/>
      <c r="F297" s="207"/>
      <c r="G297" s="198"/>
      <c r="H297" s="199"/>
      <c r="I297" s="199"/>
      <c r="J297" s="187"/>
      <c r="K297" s="200"/>
      <c r="L297" s="363"/>
      <c r="M297" s="369"/>
      <c r="N297" s="364"/>
      <c r="O297" s="725"/>
      <c r="P297" s="725"/>
      <c r="Q297" s="725"/>
      <c r="R297" s="201"/>
      <c r="S297" s="202"/>
      <c r="T297" s="187"/>
      <c r="U297" s="200"/>
      <c r="Z297" s="60"/>
      <c r="AA297" s="60"/>
      <c r="AB297" s="60"/>
      <c r="AC297" s="60"/>
      <c r="AD297" s="60"/>
      <c r="AE297" s="60"/>
      <c r="AF297" s="60"/>
      <c r="AG297" s="60"/>
      <c r="AH297" s="60"/>
      <c r="AI297" s="60"/>
      <c r="AJ297" s="60"/>
      <c r="AR297" s="60"/>
      <c r="AS297" s="60"/>
      <c r="AT297" s="60"/>
      <c r="AU297" s="60"/>
      <c r="AV297" s="60"/>
      <c r="AW297" s="60"/>
      <c r="AX297" s="60"/>
      <c r="AY297" s="60"/>
    </row>
    <row r="298" spans="2:51" s="59" customFormat="1" ht="15" customHeight="1">
      <c r="B298" s="203"/>
      <c r="D298" s="186"/>
      <c r="E298" s="197"/>
      <c r="F298" s="207"/>
      <c r="G298" s="198"/>
      <c r="H298" s="199"/>
      <c r="I298" s="199"/>
      <c r="J298" s="187"/>
      <c r="K298" s="200"/>
      <c r="L298" s="363"/>
      <c r="M298" s="369"/>
      <c r="N298" s="364"/>
      <c r="O298" s="725"/>
      <c r="P298" s="725"/>
      <c r="Q298" s="725"/>
      <c r="R298" s="201"/>
      <c r="S298" s="202"/>
      <c r="T298" s="187"/>
      <c r="U298" s="200"/>
      <c r="Z298" s="60"/>
      <c r="AA298" s="60"/>
      <c r="AB298" s="60"/>
      <c r="AC298" s="60"/>
      <c r="AD298" s="60"/>
      <c r="AE298" s="60"/>
      <c r="AF298" s="60"/>
      <c r="AG298" s="60"/>
      <c r="AH298" s="60"/>
      <c r="AI298" s="60"/>
      <c r="AJ298" s="60"/>
      <c r="AR298" s="60"/>
      <c r="AS298" s="60"/>
      <c r="AT298" s="60"/>
      <c r="AU298" s="60"/>
      <c r="AV298" s="60"/>
      <c r="AW298" s="60"/>
      <c r="AX298" s="60"/>
      <c r="AY298" s="60"/>
    </row>
    <row r="299" spans="2:51" s="59" customFormat="1" ht="15" customHeight="1">
      <c r="B299" s="203"/>
      <c r="D299" s="186"/>
      <c r="E299" s="197"/>
      <c r="F299" s="207"/>
      <c r="G299" s="198"/>
      <c r="H299" s="199"/>
      <c r="I299" s="199"/>
      <c r="J299" s="187"/>
      <c r="K299" s="200"/>
      <c r="L299" s="363"/>
      <c r="M299" s="369"/>
      <c r="N299" s="364"/>
      <c r="O299" s="725"/>
      <c r="P299" s="725"/>
      <c r="Q299" s="725"/>
      <c r="R299" s="201"/>
      <c r="S299" s="202"/>
      <c r="T299" s="187"/>
      <c r="U299" s="200"/>
      <c r="Z299" s="60"/>
      <c r="AA299" s="60"/>
      <c r="AB299" s="60"/>
      <c r="AC299" s="60"/>
      <c r="AD299" s="60"/>
      <c r="AE299" s="60"/>
      <c r="AF299" s="60"/>
      <c r="AG299" s="60"/>
      <c r="AH299" s="60"/>
      <c r="AI299" s="60"/>
      <c r="AJ299" s="60"/>
      <c r="AR299" s="60"/>
      <c r="AS299" s="60"/>
      <c r="AT299" s="60"/>
      <c r="AU299" s="60"/>
      <c r="AV299" s="60"/>
      <c r="AW299" s="60"/>
      <c r="AX299" s="60"/>
      <c r="AY299" s="60"/>
    </row>
    <row r="300" spans="2:51" s="59" customFormat="1" ht="15" customHeight="1">
      <c r="B300" s="203"/>
      <c r="D300" s="186"/>
      <c r="E300" s="197"/>
      <c r="F300" s="207"/>
      <c r="G300" s="198"/>
      <c r="H300" s="199"/>
      <c r="I300" s="199"/>
      <c r="J300" s="187"/>
      <c r="K300" s="200"/>
      <c r="L300" s="363"/>
      <c r="M300" s="369"/>
      <c r="N300" s="364"/>
      <c r="O300" s="725"/>
      <c r="P300" s="725"/>
      <c r="Q300" s="725"/>
      <c r="R300" s="201"/>
      <c r="S300" s="202"/>
      <c r="T300" s="187"/>
      <c r="U300" s="200"/>
      <c r="Z300" s="60"/>
      <c r="AA300" s="60"/>
      <c r="AB300" s="60"/>
      <c r="AC300" s="60"/>
      <c r="AD300" s="60"/>
      <c r="AE300" s="60"/>
      <c r="AF300" s="60"/>
      <c r="AG300" s="60"/>
      <c r="AH300" s="60"/>
      <c r="AI300" s="60"/>
      <c r="AJ300" s="60"/>
      <c r="AR300" s="60"/>
      <c r="AS300" s="60"/>
      <c r="AT300" s="60"/>
      <c r="AU300" s="60"/>
      <c r="AV300" s="60"/>
      <c r="AW300" s="60"/>
      <c r="AX300" s="60"/>
      <c r="AY300" s="60"/>
    </row>
    <row r="301" spans="2:51" s="59" customFormat="1" ht="15" customHeight="1">
      <c r="B301" s="203"/>
      <c r="D301" s="186"/>
      <c r="E301" s="197"/>
      <c r="F301" s="207"/>
      <c r="G301" s="198"/>
      <c r="H301" s="199"/>
      <c r="I301" s="199"/>
      <c r="J301" s="187"/>
      <c r="K301" s="200"/>
      <c r="L301" s="363"/>
      <c r="M301" s="369"/>
      <c r="N301" s="364"/>
      <c r="O301" s="725"/>
      <c r="P301" s="725"/>
      <c r="Q301" s="725"/>
      <c r="R301" s="201"/>
      <c r="S301" s="202"/>
      <c r="T301" s="187"/>
      <c r="U301" s="200"/>
      <c r="Z301" s="60"/>
      <c r="AA301" s="60"/>
      <c r="AB301" s="60"/>
      <c r="AC301" s="60"/>
      <c r="AD301" s="60"/>
      <c r="AE301" s="60"/>
      <c r="AF301" s="60"/>
      <c r="AG301" s="60"/>
      <c r="AH301" s="60"/>
      <c r="AI301" s="60"/>
      <c r="AJ301" s="60"/>
      <c r="AR301" s="60"/>
      <c r="AS301" s="60"/>
      <c r="AT301" s="60"/>
      <c r="AU301" s="60"/>
      <c r="AV301" s="60"/>
      <c r="AW301" s="60"/>
      <c r="AX301" s="60"/>
      <c r="AY301" s="60"/>
    </row>
    <row r="302" spans="2:51" s="59" customFormat="1" ht="15" customHeight="1">
      <c r="B302" s="203"/>
      <c r="D302" s="186"/>
      <c r="E302" s="197"/>
      <c r="F302" s="207"/>
      <c r="G302" s="198"/>
      <c r="H302" s="199"/>
      <c r="I302" s="199"/>
      <c r="J302" s="187"/>
      <c r="K302" s="200"/>
      <c r="L302" s="363"/>
      <c r="M302" s="369"/>
      <c r="N302" s="364"/>
      <c r="O302" s="725"/>
      <c r="P302" s="725"/>
      <c r="Q302" s="725"/>
      <c r="R302" s="201"/>
      <c r="S302" s="202"/>
      <c r="T302" s="187"/>
      <c r="U302" s="200"/>
      <c r="Z302" s="60"/>
      <c r="AA302" s="60"/>
      <c r="AB302" s="60"/>
      <c r="AC302" s="60"/>
      <c r="AD302" s="60"/>
      <c r="AE302" s="60"/>
      <c r="AF302" s="60"/>
      <c r="AG302" s="60"/>
      <c r="AH302" s="60"/>
      <c r="AI302" s="60"/>
      <c r="AJ302" s="60"/>
      <c r="AR302" s="60"/>
      <c r="AS302" s="60"/>
      <c r="AT302" s="60"/>
      <c r="AU302" s="60"/>
      <c r="AV302" s="60"/>
      <c r="AW302" s="60"/>
      <c r="AX302" s="60"/>
      <c r="AY302" s="60"/>
    </row>
    <row r="303" spans="2:51" s="59" customFormat="1" ht="15" customHeight="1">
      <c r="B303" s="203"/>
      <c r="D303" s="186"/>
      <c r="E303" s="197"/>
      <c r="F303" s="207"/>
      <c r="G303" s="198"/>
      <c r="H303" s="199"/>
      <c r="I303" s="199"/>
      <c r="J303" s="187"/>
      <c r="K303" s="200"/>
      <c r="L303" s="363"/>
      <c r="M303" s="369"/>
      <c r="N303" s="364"/>
      <c r="O303" s="725"/>
      <c r="P303" s="725"/>
      <c r="Q303" s="725"/>
      <c r="R303" s="201"/>
      <c r="S303" s="202"/>
      <c r="T303" s="187"/>
      <c r="U303" s="200"/>
      <c r="Z303" s="60"/>
      <c r="AA303" s="60"/>
      <c r="AB303" s="60"/>
      <c r="AC303" s="60"/>
      <c r="AD303" s="60"/>
      <c r="AE303" s="60"/>
      <c r="AF303" s="60"/>
      <c r="AG303" s="60"/>
      <c r="AH303" s="60"/>
      <c r="AI303" s="60"/>
      <c r="AJ303" s="60"/>
      <c r="AR303" s="60"/>
      <c r="AS303" s="60"/>
      <c r="AT303" s="60"/>
      <c r="AU303" s="60"/>
      <c r="AV303" s="60"/>
      <c r="AW303" s="60"/>
      <c r="AX303" s="60"/>
      <c r="AY303" s="60"/>
    </row>
    <row r="304" spans="2:51" s="59" customFormat="1" ht="15" customHeight="1">
      <c r="B304" s="203"/>
      <c r="D304" s="186"/>
      <c r="E304" s="197"/>
      <c r="F304" s="207"/>
      <c r="G304" s="198"/>
      <c r="H304" s="199"/>
      <c r="I304" s="199"/>
      <c r="J304" s="187"/>
      <c r="K304" s="200"/>
      <c r="L304" s="363"/>
      <c r="M304" s="369"/>
      <c r="N304" s="364"/>
      <c r="O304" s="725"/>
      <c r="P304" s="725"/>
      <c r="Q304" s="725"/>
      <c r="R304" s="201"/>
      <c r="S304" s="202"/>
      <c r="T304" s="187"/>
      <c r="U304" s="200"/>
      <c r="Z304" s="60"/>
      <c r="AA304" s="60"/>
      <c r="AB304" s="60"/>
      <c r="AC304" s="60"/>
      <c r="AD304" s="60"/>
      <c r="AE304" s="60"/>
      <c r="AF304" s="60"/>
      <c r="AG304" s="60"/>
      <c r="AH304" s="60"/>
      <c r="AI304" s="60"/>
      <c r="AJ304" s="60"/>
      <c r="AR304" s="60"/>
      <c r="AS304" s="60"/>
      <c r="AT304" s="60"/>
      <c r="AU304" s="60"/>
      <c r="AV304" s="60"/>
      <c r="AW304" s="60"/>
      <c r="AX304" s="60"/>
      <c r="AY304" s="60"/>
    </row>
    <row r="305" spans="2:51" s="59" customFormat="1" ht="15" customHeight="1">
      <c r="B305" s="203"/>
      <c r="D305" s="186"/>
      <c r="E305" s="197"/>
      <c r="F305" s="207"/>
      <c r="G305" s="198"/>
      <c r="H305" s="199"/>
      <c r="I305" s="199"/>
      <c r="J305" s="187"/>
      <c r="K305" s="200"/>
      <c r="L305" s="363"/>
      <c r="M305" s="369"/>
      <c r="N305" s="364"/>
      <c r="O305" s="725"/>
      <c r="P305" s="725"/>
      <c r="Q305" s="725"/>
      <c r="R305" s="201"/>
      <c r="S305" s="202"/>
      <c r="T305" s="187"/>
      <c r="U305" s="200"/>
      <c r="Z305" s="60"/>
      <c r="AA305" s="60"/>
      <c r="AB305" s="60"/>
      <c r="AC305" s="60"/>
      <c r="AD305" s="60"/>
      <c r="AE305" s="60"/>
      <c r="AF305" s="60"/>
      <c r="AG305" s="60"/>
      <c r="AH305" s="60"/>
      <c r="AI305" s="60"/>
      <c r="AJ305" s="60"/>
      <c r="AR305" s="60"/>
      <c r="AS305" s="60"/>
      <c r="AT305" s="60"/>
      <c r="AU305" s="60"/>
      <c r="AV305" s="60"/>
      <c r="AW305" s="60"/>
      <c r="AX305" s="60"/>
      <c r="AY305" s="60"/>
    </row>
    <row r="306" spans="2:51" s="59" customFormat="1" ht="15" customHeight="1">
      <c r="B306" s="203"/>
      <c r="D306" s="186"/>
      <c r="E306" s="197"/>
      <c r="F306" s="207"/>
      <c r="G306" s="198"/>
      <c r="H306" s="199"/>
      <c r="I306" s="199"/>
      <c r="J306" s="187"/>
      <c r="K306" s="200"/>
      <c r="L306" s="363"/>
      <c r="M306" s="369"/>
      <c r="N306" s="364"/>
      <c r="O306" s="725"/>
      <c r="P306" s="725"/>
      <c r="Q306" s="725"/>
      <c r="R306" s="201"/>
      <c r="S306" s="202"/>
      <c r="T306" s="187"/>
      <c r="U306" s="200"/>
      <c r="Z306" s="60"/>
      <c r="AA306" s="60"/>
      <c r="AB306" s="60"/>
      <c r="AC306" s="60"/>
      <c r="AD306" s="60"/>
      <c r="AE306" s="60"/>
      <c r="AF306" s="60"/>
      <c r="AG306" s="60"/>
      <c r="AH306" s="60"/>
      <c r="AI306" s="60"/>
      <c r="AJ306" s="60"/>
      <c r="AR306" s="60"/>
      <c r="AS306" s="60"/>
      <c r="AT306" s="60"/>
      <c r="AU306" s="60"/>
      <c r="AV306" s="60"/>
      <c r="AW306" s="60"/>
      <c r="AX306" s="60"/>
      <c r="AY306" s="60"/>
    </row>
    <row r="307" spans="2:51" s="59" customFormat="1" ht="15" customHeight="1">
      <c r="B307" s="203"/>
      <c r="D307" s="186"/>
      <c r="E307" s="197"/>
      <c r="F307" s="207"/>
      <c r="G307" s="198"/>
      <c r="H307" s="199"/>
      <c r="I307" s="199"/>
      <c r="J307" s="187"/>
      <c r="K307" s="200"/>
      <c r="L307" s="363"/>
      <c r="M307" s="369"/>
      <c r="N307" s="364"/>
      <c r="O307" s="725"/>
      <c r="P307" s="725"/>
      <c r="Q307" s="725"/>
      <c r="R307" s="201"/>
      <c r="S307" s="202"/>
      <c r="T307" s="187"/>
      <c r="U307" s="200"/>
      <c r="Z307" s="60"/>
      <c r="AA307" s="60"/>
      <c r="AB307" s="60"/>
      <c r="AC307" s="60"/>
      <c r="AD307" s="60"/>
      <c r="AE307" s="60"/>
      <c r="AF307" s="60"/>
      <c r="AG307" s="60"/>
      <c r="AH307" s="60"/>
      <c r="AI307" s="60"/>
      <c r="AJ307" s="60"/>
      <c r="AR307" s="60"/>
      <c r="AS307" s="60"/>
      <c r="AT307" s="60"/>
      <c r="AU307" s="60"/>
      <c r="AV307" s="60"/>
      <c r="AW307" s="60"/>
      <c r="AX307" s="60"/>
      <c r="AY307" s="60"/>
    </row>
    <row r="308" spans="2:51" s="183" customFormat="1" ht="15" customHeight="1">
      <c r="B308" s="203"/>
      <c r="C308" s="59"/>
      <c r="D308" s="186"/>
      <c r="E308" s="197"/>
      <c r="F308" s="207"/>
      <c r="G308" s="198"/>
      <c r="H308" s="199"/>
      <c r="I308" s="199"/>
      <c r="J308" s="187"/>
      <c r="K308" s="200"/>
      <c r="L308" s="363"/>
      <c r="M308" s="369"/>
      <c r="N308" s="364"/>
      <c r="O308" s="725"/>
      <c r="P308" s="725"/>
      <c r="Q308" s="725"/>
      <c r="R308" s="201"/>
      <c r="S308" s="202"/>
      <c r="T308" s="187"/>
      <c r="U308" s="200"/>
      <c r="V308" s="59"/>
      <c r="Z308" s="108"/>
      <c r="AA308" s="60"/>
      <c r="AB308" s="60"/>
      <c r="AC308" s="60"/>
      <c r="AD308" s="60"/>
      <c r="AE308" s="60"/>
      <c r="AF308" s="60"/>
      <c r="AG308" s="60"/>
      <c r="AH308" s="60"/>
      <c r="AI308" s="108"/>
      <c r="AJ308" s="108"/>
      <c r="AK308" s="204"/>
      <c r="AL308" s="204"/>
      <c r="AM308" s="204"/>
      <c r="AN308" s="204"/>
      <c r="AO308" s="204"/>
      <c r="AP308" s="204"/>
      <c r="AR308" s="108"/>
      <c r="AS308" s="108"/>
      <c r="AT308" s="108"/>
      <c r="AU308" s="108"/>
      <c r="AV308" s="108"/>
      <c r="AW308" s="108"/>
      <c r="AX308" s="108"/>
      <c r="AY308" s="108"/>
    </row>
    <row r="309" spans="2:51" s="59" customFormat="1" ht="15" customHeight="1">
      <c r="B309" s="203"/>
      <c r="D309" s="186"/>
      <c r="E309" s="197"/>
      <c r="F309" s="207"/>
      <c r="G309" s="198"/>
      <c r="H309" s="199"/>
      <c r="I309" s="199"/>
      <c r="J309" s="187"/>
      <c r="K309" s="200"/>
      <c r="L309" s="363"/>
      <c r="M309" s="369"/>
      <c r="N309" s="364"/>
      <c r="O309" s="725"/>
      <c r="P309" s="725"/>
      <c r="Q309" s="725"/>
      <c r="R309" s="201"/>
      <c r="S309" s="202"/>
      <c r="T309" s="187"/>
      <c r="U309" s="200"/>
      <c r="Z309" s="60"/>
      <c r="AA309" s="60"/>
      <c r="AB309" s="60"/>
      <c r="AC309" s="60"/>
      <c r="AD309" s="60"/>
      <c r="AE309" s="60"/>
      <c r="AF309" s="60"/>
      <c r="AG309" s="60"/>
      <c r="AH309" s="60"/>
      <c r="AI309" s="60"/>
      <c r="AJ309" s="60"/>
      <c r="AR309" s="60"/>
      <c r="AS309" s="60"/>
      <c r="AT309" s="60"/>
      <c r="AU309" s="60"/>
      <c r="AV309" s="60"/>
      <c r="AW309" s="60"/>
      <c r="AX309" s="60"/>
      <c r="AY309" s="60"/>
    </row>
    <row r="310" spans="2:51" s="59" customFormat="1" ht="15" customHeight="1">
      <c r="B310" s="203"/>
      <c r="D310" s="186"/>
      <c r="E310" s="197"/>
      <c r="F310" s="207"/>
      <c r="G310" s="198"/>
      <c r="H310" s="199"/>
      <c r="I310" s="199"/>
      <c r="J310" s="187"/>
      <c r="K310" s="200"/>
      <c r="L310" s="363"/>
      <c r="M310" s="369"/>
      <c r="N310" s="364"/>
      <c r="O310" s="725"/>
      <c r="P310" s="725"/>
      <c r="Q310" s="725"/>
      <c r="R310" s="201"/>
      <c r="S310" s="202"/>
      <c r="T310" s="187"/>
      <c r="U310" s="200"/>
      <c r="Z310" s="60"/>
      <c r="AA310" s="60"/>
      <c r="AB310" s="60"/>
      <c r="AC310" s="60"/>
      <c r="AD310" s="60"/>
      <c r="AE310" s="60"/>
      <c r="AF310" s="60"/>
      <c r="AG310" s="60"/>
      <c r="AH310" s="60"/>
      <c r="AI310" s="60"/>
      <c r="AJ310" s="60"/>
      <c r="AR310" s="60"/>
      <c r="AS310" s="60"/>
      <c r="AT310" s="60"/>
      <c r="AU310" s="60"/>
      <c r="AV310" s="60"/>
      <c r="AW310" s="60"/>
      <c r="AX310" s="60"/>
      <c r="AY310" s="60"/>
    </row>
    <row r="311" spans="2:51" s="59" customFormat="1" ht="15" customHeight="1">
      <c r="B311" s="203"/>
      <c r="D311" s="186"/>
      <c r="E311" s="201"/>
      <c r="F311" s="187"/>
      <c r="G311" s="187"/>
      <c r="H311" s="187"/>
      <c r="I311" s="187"/>
      <c r="J311" s="187"/>
      <c r="K311" s="188"/>
      <c r="L311" s="363"/>
      <c r="M311" s="364"/>
      <c r="N311" s="364"/>
      <c r="O311" s="365"/>
      <c r="P311" s="365"/>
      <c r="Q311" s="188"/>
      <c r="R311" s="201"/>
      <c r="S311" s="187"/>
      <c r="T311" s="187"/>
      <c r="U311" s="188"/>
      <c r="Z311" s="60"/>
      <c r="AA311" s="60"/>
      <c r="AB311" s="60"/>
      <c r="AC311" s="60"/>
      <c r="AD311" s="60"/>
      <c r="AE311" s="60"/>
      <c r="AF311" s="60"/>
      <c r="AG311" s="60"/>
      <c r="AH311" s="60"/>
      <c r="AI311" s="60"/>
      <c r="AJ311" s="60"/>
      <c r="AR311" s="60"/>
      <c r="AS311" s="60"/>
      <c r="AT311" s="60"/>
      <c r="AU311" s="60"/>
      <c r="AV311" s="60"/>
      <c r="AW311" s="60"/>
      <c r="AX311" s="60"/>
      <c r="AY311" s="60"/>
    </row>
    <row r="312" spans="2:51" s="59" customFormat="1" ht="15" customHeight="1">
      <c r="B312" s="203"/>
      <c r="D312" s="186"/>
      <c r="E312" s="201"/>
      <c r="F312" s="199"/>
      <c r="G312" s="199"/>
      <c r="H312" s="199"/>
      <c r="I312" s="199"/>
      <c r="J312" s="199"/>
      <c r="K312" s="188"/>
      <c r="L312" s="363"/>
      <c r="M312" s="366"/>
      <c r="N312" s="366"/>
      <c r="O312" s="365"/>
      <c r="P312" s="365"/>
      <c r="Q312" s="188"/>
      <c r="R312" s="201"/>
      <c r="S312" s="199"/>
      <c r="T312" s="199"/>
      <c r="U312" s="188"/>
      <c r="Z312" s="60"/>
      <c r="AA312" s="60"/>
      <c r="AB312" s="60"/>
      <c r="AC312" s="60"/>
      <c r="AD312" s="60"/>
      <c r="AE312" s="60"/>
      <c r="AF312" s="60"/>
      <c r="AG312" s="60"/>
      <c r="AH312" s="60"/>
      <c r="AI312" s="60"/>
      <c r="AJ312" s="60"/>
      <c r="AR312" s="60"/>
      <c r="AS312" s="60"/>
      <c r="AT312" s="60"/>
      <c r="AU312" s="60"/>
      <c r="AV312" s="60"/>
      <c r="AW312" s="60"/>
      <c r="AX312" s="60"/>
      <c r="AY312" s="60"/>
    </row>
    <row r="313" spans="2:51" s="59" customFormat="1" ht="15" customHeight="1">
      <c r="B313" s="203"/>
      <c r="D313" s="186"/>
      <c r="E313" s="201"/>
      <c r="F313" s="199"/>
      <c r="G313" s="199"/>
      <c r="H313" s="199"/>
      <c r="I313" s="199"/>
      <c r="J313" s="199"/>
      <c r="K313" s="188"/>
      <c r="L313" s="363"/>
      <c r="M313" s="366"/>
      <c r="N313" s="366"/>
      <c r="O313" s="365"/>
      <c r="P313" s="365"/>
      <c r="Q313" s="188"/>
      <c r="R313" s="201"/>
      <c r="S313" s="199"/>
      <c r="T313" s="199"/>
      <c r="U313" s="188"/>
      <c r="Z313" s="60"/>
      <c r="AA313" s="60"/>
      <c r="AB313" s="60"/>
      <c r="AC313" s="60"/>
      <c r="AD313" s="60"/>
      <c r="AE313" s="60"/>
      <c r="AF313" s="60"/>
      <c r="AG313" s="60"/>
      <c r="AH313" s="60"/>
      <c r="AI313" s="60"/>
      <c r="AJ313" s="60"/>
      <c r="AR313" s="60"/>
      <c r="AS313" s="60"/>
      <c r="AT313" s="60"/>
      <c r="AU313" s="60"/>
      <c r="AV313" s="60"/>
      <c r="AW313" s="60"/>
      <c r="AX313" s="60"/>
      <c r="AY313" s="60"/>
    </row>
    <row r="314" spans="2:51" s="59" customFormat="1" ht="15" customHeight="1">
      <c r="B314" s="203"/>
      <c r="D314" s="186"/>
      <c r="E314" s="201"/>
      <c r="F314" s="201"/>
      <c r="G314" s="201"/>
      <c r="H314" s="201"/>
      <c r="I314" s="201"/>
      <c r="J314" s="201"/>
      <c r="K314" s="188"/>
      <c r="L314" s="363"/>
      <c r="M314" s="363"/>
      <c r="N314" s="363"/>
      <c r="O314" s="365"/>
      <c r="P314" s="365"/>
      <c r="Q314" s="188"/>
      <c r="R314" s="201"/>
      <c r="S314" s="201"/>
      <c r="T314" s="201"/>
      <c r="U314" s="188"/>
      <c r="Z314" s="60"/>
      <c r="AA314" s="60"/>
      <c r="AB314" s="60"/>
      <c r="AC314" s="60"/>
      <c r="AD314" s="60"/>
      <c r="AE314" s="60"/>
      <c r="AF314" s="60"/>
      <c r="AG314" s="60"/>
      <c r="AH314" s="60"/>
      <c r="AI314" s="60"/>
      <c r="AJ314" s="60"/>
      <c r="AR314" s="60"/>
      <c r="AS314" s="60"/>
      <c r="AT314" s="60"/>
      <c r="AU314" s="60"/>
      <c r="AV314" s="60"/>
      <c r="AW314" s="60"/>
      <c r="AX314" s="60"/>
      <c r="AY314" s="60"/>
    </row>
    <row r="315" spans="2:51" s="59" customFormat="1" ht="15" customHeight="1">
      <c r="B315" s="194"/>
      <c r="C315" s="183"/>
      <c r="D315" s="726"/>
      <c r="E315" s="726"/>
      <c r="F315" s="726"/>
      <c r="G315" s="726"/>
      <c r="H315" s="189"/>
      <c r="I315" s="189"/>
      <c r="J315" s="189"/>
      <c r="K315" s="195"/>
      <c r="L315" s="367"/>
      <c r="M315" s="367"/>
      <c r="N315" s="367"/>
      <c r="O315" s="368"/>
      <c r="P315" s="368"/>
      <c r="Q315" s="195"/>
      <c r="R315" s="196"/>
      <c r="S315" s="196"/>
      <c r="T315" s="196"/>
      <c r="U315" s="195"/>
      <c r="V315" s="183"/>
      <c r="Z315" s="60"/>
      <c r="AA315" s="60"/>
      <c r="AB315" s="60"/>
      <c r="AC315" s="60"/>
      <c r="AD315" s="60"/>
      <c r="AE315" s="60"/>
      <c r="AF315" s="60"/>
      <c r="AG315" s="60"/>
      <c r="AH315" s="60"/>
      <c r="AI315" s="60"/>
      <c r="AJ315" s="60"/>
      <c r="AR315" s="60"/>
      <c r="AS315" s="60"/>
      <c r="AT315" s="60"/>
      <c r="AU315" s="60"/>
      <c r="AV315" s="60"/>
      <c r="AW315" s="60"/>
      <c r="AX315" s="60"/>
      <c r="AY315" s="60"/>
    </row>
    <row r="316" spans="2:51" s="59" customFormat="1" ht="15" customHeight="1">
      <c r="B316" s="184"/>
      <c r="C316" s="185"/>
      <c r="D316" s="186"/>
      <c r="E316" s="197"/>
      <c r="F316" s="207"/>
      <c r="G316" s="198"/>
      <c r="H316" s="199"/>
      <c r="I316" s="199"/>
      <c r="J316" s="187"/>
      <c r="K316" s="200"/>
      <c r="L316" s="363"/>
      <c r="M316" s="369"/>
      <c r="N316" s="364"/>
      <c r="O316" s="725"/>
      <c r="P316" s="725"/>
      <c r="Q316" s="725"/>
      <c r="R316" s="201"/>
      <c r="S316" s="202"/>
      <c r="T316" s="187"/>
      <c r="U316" s="200"/>
      <c r="Z316" s="60"/>
      <c r="AA316" s="60"/>
      <c r="AB316" s="60"/>
      <c r="AC316" s="60"/>
      <c r="AD316" s="60"/>
      <c r="AE316" s="60"/>
      <c r="AF316" s="60"/>
      <c r="AG316" s="60"/>
      <c r="AH316" s="60"/>
      <c r="AI316" s="60"/>
      <c r="AJ316" s="60"/>
      <c r="AR316" s="60"/>
      <c r="AS316" s="60"/>
      <c r="AT316" s="60"/>
      <c r="AU316" s="60"/>
      <c r="AV316" s="60"/>
      <c r="AW316" s="60"/>
      <c r="AX316" s="60"/>
      <c r="AY316" s="60"/>
    </row>
    <row r="317" spans="2:51" s="59" customFormat="1" ht="15" customHeight="1">
      <c r="B317" s="184"/>
      <c r="D317" s="186"/>
      <c r="E317" s="197"/>
      <c r="F317" s="207"/>
      <c r="G317" s="198"/>
      <c r="H317" s="199"/>
      <c r="I317" s="199"/>
      <c r="J317" s="187"/>
      <c r="K317" s="200"/>
      <c r="L317" s="363"/>
      <c r="M317" s="369"/>
      <c r="N317" s="364"/>
      <c r="O317" s="725"/>
      <c r="P317" s="725"/>
      <c r="Q317" s="725"/>
      <c r="R317" s="201"/>
      <c r="S317" s="202"/>
      <c r="T317" s="187"/>
      <c r="U317" s="200"/>
      <c r="Z317" s="60"/>
      <c r="AA317" s="60"/>
      <c r="AB317" s="60"/>
      <c r="AC317" s="60"/>
      <c r="AD317" s="60"/>
      <c r="AE317" s="60"/>
      <c r="AF317" s="60"/>
      <c r="AG317" s="60"/>
      <c r="AH317" s="60"/>
      <c r="AI317" s="60"/>
      <c r="AJ317" s="60"/>
      <c r="AR317" s="60"/>
      <c r="AS317" s="60"/>
      <c r="AT317" s="60"/>
      <c r="AU317" s="60"/>
      <c r="AV317" s="60"/>
      <c r="AW317" s="60"/>
      <c r="AX317" s="60"/>
      <c r="AY317" s="60"/>
    </row>
    <row r="318" spans="2:51" s="59" customFormat="1" ht="15" customHeight="1">
      <c r="B318" s="184"/>
      <c r="D318" s="186"/>
      <c r="E318" s="197"/>
      <c r="F318" s="208"/>
      <c r="G318" s="198"/>
      <c r="H318" s="199"/>
      <c r="I318" s="199"/>
      <c r="J318" s="187"/>
      <c r="K318" s="200"/>
      <c r="L318" s="363"/>
      <c r="M318" s="369"/>
      <c r="N318" s="364"/>
      <c r="O318" s="725"/>
      <c r="P318" s="725"/>
      <c r="Q318" s="725"/>
      <c r="R318" s="201"/>
      <c r="S318" s="202"/>
      <c r="T318" s="187"/>
      <c r="U318" s="200"/>
      <c r="Z318" s="60"/>
      <c r="AA318" s="60"/>
      <c r="AB318" s="60"/>
      <c r="AC318" s="60"/>
      <c r="AD318" s="60"/>
      <c r="AE318" s="60"/>
      <c r="AF318" s="60"/>
      <c r="AG318" s="60"/>
      <c r="AH318" s="60"/>
      <c r="AI318" s="60"/>
      <c r="AJ318" s="60"/>
      <c r="AR318" s="60"/>
      <c r="AS318" s="60"/>
      <c r="AT318" s="60"/>
      <c r="AU318" s="60"/>
      <c r="AV318" s="60"/>
      <c r="AW318" s="60"/>
      <c r="AX318" s="60"/>
      <c r="AY318" s="60"/>
    </row>
    <row r="319" spans="2:51" s="59" customFormat="1" ht="15" customHeight="1">
      <c r="B319" s="184"/>
      <c r="D319" s="186"/>
      <c r="E319" s="197"/>
      <c r="F319" s="207"/>
      <c r="G319" s="198"/>
      <c r="H319" s="199"/>
      <c r="I319" s="199"/>
      <c r="J319" s="187"/>
      <c r="K319" s="200"/>
      <c r="L319" s="363"/>
      <c r="M319" s="369"/>
      <c r="N319" s="364"/>
      <c r="O319" s="725"/>
      <c r="P319" s="725"/>
      <c r="Q319" s="725"/>
      <c r="R319" s="201"/>
      <c r="S319" s="202"/>
      <c r="T319" s="187"/>
      <c r="U319" s="200"/>
      <c r="Z319" s="60"/>
      <c r="AA319" s="60"/>
      <c r="AB319" s="60"/>
      <c r="AC319" s="60"/>
      <c r="AD319" s="60"/>
      <c r="AE319" s="60"/>
      <c r="AF319" s="60"/>
      <c r="AG319" s="60"/>
      <c r="AH319" s="60"/>
      <c r="AI319" s="60"/>
      <c r="AJ319" s="60"/>
      <c r="AR319" s="60"/>
      <c r="AS319" s="60"/>
      <c r="AT319" s="60"/>
      <c r="AU319" s="60"/>
      <c r="AV319" s="60"/>
      <c r="AW319" s="60"/>
      <c r="AX319" s="60"/>
      <c r="AY319" s="60"/>
    </row>
    <row r="320" spans="2:51" s="59" customFormat="1" ht="15" customHeight="1">
      <c r="B320" s="184"/>
      <c r="D320" s="186"/>
      <c r="E320" s="197"/>
      <c r="F320" s="207"/>
      <c r="G320" s="198"/>
      <c r="H320" s="199"/>
      <c r="I320" s="199"/>
      <c r="J320" s="187"/>
      <c r="K320" s="200"/>
      <c r="L320" s="363"/>
      <c r="M320" s="369"/>
      <c r="N320" s="364"/>
      <c r="O320" s="725"/>
      <c r="P320" s="725"/>
      <c r="Q320" s="725"/>
      <c r="R320" s="201"/>
      <c r="S320" s="202"/>
      <c r="T320" s="187"/>
      <c r="U320" s="200"/>
      <c r="Z320" s="60"/>
      <c r="AA320" s="60"/>
      <c r="AB320" s="60"/>
      <c r="AC320" s="60"/>
      <c r="AD320" s="60"/>
      <c r="AE320" s="60"/>
      <c r="AF320" s="60"/>
      <c r="AG320" s="60"/>
      <c r="AH320" s="60"/>
      <c r="AI320" s="60"/>
      <c r="AJ320" s="60"/>
      <c r="AR320" s="60"/>
      <c r="AS320" s="60"/>
      <c r="AT320" s="60"/>
      <c r="AU320" s="60"/>
      <c r="AV320" s="60"/>
      <c r="AW320" s="60"/>
      <c r="AX320" s="60"/>
      <c r="AY320" s="60"/>
    </row>
    <row r="321" spans="2:51" s="59" customFormat="1" ht="15" customHeight="1">
      <c r="B321" s="184"/>
      <c r="D321" s="186"/>
      <c r="E321" s="197"/>
      <c r="F321" s="207"/>
      <c r="G321" s="198"/>
      <c r="H321" s="199"/>
      <c r="I321" s="199"/>
      <c r="J321" s="187"/>
      <c r="K321" s="200"/>
      <c r="L321" s="363"/>
      <c r="M321" s="369"/>
      <c r="N321" s="364"/>
      <c r="O321" s="725"/>
      <c r="P321" s="725"/>
      <c r="Q321" s="725"/>
      <c r="R321" s="201"/>
      <c r="S321" s="202"/>
      <c r="T321" s="187"/>
      <c r="U321" s="200"/>
      <c r="Z321" s="60"/>
      <c r="AA321" s="60"/>
      <c r="AB321" s="60"/>
      <c r="AC321" s="60"/>
      <c r="AD321" s="60"/>
      <c r="AE321" s="60"/>
      <c r="AF321" s="60"/>
      <c r="AG321" s="60"/>
      <c r="AH321" s="60"/>
      <c r="AI321" s="60"/>
      <c r="AJ321" s="60"/>
      <c r="AR321" s="60"/>
      <c r="AS321" s="60"/>
      <c r="AT321" s="60"/>
      <c r="AU321" s="60"/>
      <c r="AV321" s="60"/>
      <c r="AW321" s="60"/>
      <c r="AX321" s="60"/>
      <c r="AY321" s="60"/>
    </row>
    <row r="322" spans="2:51" s="59" customFormat="1" ht="15" customHeight="1">
      <c r="B322" s="184"/>
      <c r="D322" s="186"/>
      <c r="E322" s="197"/>
      <c r="F322" s="207"/>
      <c r="G322" s="198"/>
      <c r="H322" s="199"/>
      <c r="I322" s="199"/>
      <c r="J322" s="187"/>
      <c r="K322" s="200"/>
      <c r="L322" s="363"/>
      <c r="M322" s="369"/>
      <c r="N322" s="364"/>
      <c r="O322" s="725"/>
      <c r="P322" s="725"/>
      <c r="Q322" s="725"/>
      <c r="R322" s="201"/>
      <c r="S322" s="202"/>
      <c r="T322" s="187"/>
      <c r="U322" s="200"/>
      <c r="Z322" s="60"/>
      <c r="AA322" s="60"/>
      <c r="AB322" s="60"/>
      <c r="AC322" s="60"/>
      <c r="AD322" s="60"/>
      <c r="AE322" s="60"/>
      <c r="AF322" s="60"/>
      <c r="AG322" s="60"/>
      <c r="AH322" s="60"/>
      <c r="AI322" s="60"/>
      <c r="AJ322" s="60"/>
      <c r="AR322" s="60"/>
      <c r="AS322" s="60"/>
      <c r="AT322" s="60"/>
      <c r="AU322" s="60"/>
      <c r="AV322" s="60"/>
      <c r="AW322" s="60"/>
      <c r="AX322" s="60"/>
      <c r="AY322" s="60"/>
    </row>
    <row r="323" spans="2:51" s="59" customFormat="1" ht="15" customHeight="1">
      <c r="B323" s="184"/>
      <c r="D323" s="186"/>
      <c r="E323" s="197"/>
      <c r="F323" s="207"/>
      <c r="G323" s="198"/>
      <c r="H323" s="199"/>
      <c r="I323" s="199"/>
      <c r="J323" s="187"/>
      <c r="K323" s="200"/>
      <c r="L323" s="363"/>
      <c r="M323" s="369"/>
      <c r="N323" s="364"/>
      <c r="O323" s="725"/>
      <c r="P323" s="725"/>
      <c r="Q323" s="725"/>
      <c r="R323" s="201"/>
      <c r="S323" s="202"/>
      <c r="T323" s="187"/>
      <c r="U323" s="200"/>
      <c r="Z323" s="60"/>
      <c r="AA323" s="60"/>
      <c r="AB323" s="60"/>
      <c r="AC323" s="60"/>
      <c r="AD323" s="60"/>
      <c r="AE323" s="60"/>
      <c r="AF323" s="60"/>
      <c r="AG323" s="60"/>
      <c r="AH323" s="60"/>
      <c r="AI323" s="60"/>
      <c r="AJ323" s="60"/>
      <c r="AR323" s="60"/>
      <c r="AS323" s="60"/>
      <c r="AT323" s="60"/>
      <c r="AU323" s="60"/>
      <c r="AV323" s="60"/>
      <c r="AW323" s="60"/>
      <c r="AX323" s="60"/>
      <c r="AY323" s="60"/>
    </row>
    <row r="324" spans="2:51" s="59" customFormat="1" ht="15" customHeight="1">
      <c r="B324" s="184"/>
      <c r="D324" s="186"/>
      <c r="E324" s="197"/>
      <c r="F324" s="208"/>
      <c r="G324" s="198"/>
      <c r="H324" s="199"/>
      <c r="I324" s="199"/>
      <c r="J324" s="187"/>
      <c r="K324" s="200"/>
      <c r="L324" s="363"/>
      <c r="M324" s="369"/>
      <c r="N324" s="364"/>
      <c r="O324" s="725"/>
      <c r="P324" s="725"/>
      <c r="Q324" s="725"/>
      <c r="R324" s="201"/>
      <c r="S324" s="202"/>
      <c r="T324" s="187"/>
      <c r="U324" s="200"/>
      <c r="Z324" s="60"/>
      <c r="AA324" s="60"/>
      <c r="AB324" s="60"/>
      <c r="AC324" s="60"/>
      <c r="AD324" s="60"/>
      <c r="AE324" s="60"/>
      <c r="AF324" s="60"/>
      <c r="AG324" s="60"/>
      <c r="AH324" s="60"/>
      <c r="AI324" s="60"/>
      <c r="AJ324" s="60"/>
      <c r="AR324" s="60"/>
      <c r="AS324" s="60"/>
      <c r="AT324" s="60"/>
      <c r="AU324" s="60"/>
      <c r="AV324" s="60"/>
      <c r="AW324" s="60"/>
      <c r="AX324" s="60"/>
      <c r="AY324" s="60"/>
    </row>
    <row r="325" spans="2:51" s="59" customFormat="1" ht="15" customHeight="1">
      <c r="B325" s="184"/>
      <c r="D325" s="186"/>
      <c r="E325" s="197"/>
      <c r="F325" s="207"/>
      <c r="G325" s="198"/>
      <c r="H325" s="199"/>
      <c r="I325" s="199"/>
      <c r="J325" s="187"/>
      <c r="K325" s="200"/>
      <c r="L325" s="363"/>
      <c r="M325" s="369"/>
      <c r="N325" s="364"/>
      <c r="O325" s="725"/>
      <c r="P325" s="725"/>
      <c r="Q325" s="725"/>
      <c r="R325" s="201"/>
      <c r="S325" s="202"/>
      <c r="T325" s="187"/>
      <c r="U325" s="200"/>
      <c r="Z325" s="60"/>
      <c r="AA325" s="60"/>
      <c r="AB325" s="60"/>
      <c r="AC325" s="60"/>
      <c r="AD325" s="60"/>
      <c r="AE325" s="60"/>
      <c r="AF325" s="60"/>
      <c r="AG325" s="60"/>
      <c r="AH325" s="60"/>
      <c r="AI325" s="60"/>
      <c r="AJ325" s="60"/>
      <c r="AR325" s="60"/>
      <c r="AS325" s="60"/>
      <c r="AT325" s="60"/>
      <c r="AU325" s="60"/>
      <c r="AV325" s="60"/>
      <c r="AW325" s="60"/>
      <c r="AX325" s="60"/>
      <c r="AY325" s="60"/>
    </row>
    <row r="326" spans="2:51" s="59" customFormat="1" ht="15" customHeight="1">
      <c r="B326" s="184"/>
      <c r="D326" s="186"/>
      <c r="E326" s="197"/>
      <c r="F326" s="207"/>
      <c r="G326" s="198"/>
      <c r="H326" s="199"/>
      <c r="I326" s="199"/>
      <c r="J326" s="187"/>
      <c r="K326" s="200"/>
      <c r="L326" s="363"/>
      <c r="M326" s="369"/>
      <c r="N326" s="364"/>
      <c r="O326" s="725"/>
      <c r="P326" s="725"/>
      <c r="Q326" s="725"/>
      <c r="R326" s="201"/>
      <c r="S326" s="202"/>
      <c r="T326" s="187"/>
      <c r="U326" s="200"/>
      <c r="Z326" s="60"/>
      <c r="AA326" s="60"/>
      <c r="AB326" s="60"/>
      <c r="AC326" s="60"/>
      <c r="AD326" s="60"/>
      <c r="AE326" s="60"/>
      <c r="AF326" s="60"/>
      <c r="AG326" s="60"/>
      <c r="AH326" s="60"/>
      <c r="AI326" s="60"/>
      <c r="AJ326" s="60"/>
      <c r="AR326" s="60"/>
      <c r="AS326" s="60"/>
      <c r="AT326" s="60"/>
      <c r="AU326" s="60"/>
      <c r="AV326" s="60"/>
      <c r="AW326" s="60"/>
      <c r="AX326" s="60"/>
      <c r="AY326" s="60"/>
    </row>
    <row r="327" spans="2:51" s="59" customFormat="1" ht="15" customHeight="1">
      <c r="B327" s="184"/>
      <c r="D327" s="186"/>
      <c r="E327" s="197"/>
      <c r="F327" s="207"/>
      <c r="G327" s="198"/>
      <c r="H327" s="199"/>
      <c r="I327" s="199"/>
      <c r="J327" s="187"/>
      <c r="K327" s="200"/>
      <c r="L327" s="363"/>
      <c r="M327" s="369"/>
      <c r="N327" s="364"/>
      <c r="O327" s="725"/>
      <c r="P327" s="725"/>
      <c r="Q327" s="725"/>
      <c r="R327" s="201"/>
      <c r="S327" s="202"/>
      <c r="T327" s="187"/>
      <c r="U327" s="200"/>
      <c r="Z327" s="60"/>
      <c r="AA327" s="60"/>
      <c r="AB327" s="60"/>
      <c r="AC327" s="60"/>
      <c r="AD327" s="60"/>
      <c r="AE327" s="60"/>
      <c r="AF327" s="60"/>
      <c r="AG327" s="60"/>
      <c r="AH327" s="60"/>
      <c r="AI327" s="60"/>
      <c r="AJ327" s="60"/>
      <c r="AR327" s="60"/>
      <c r="AS327" s="60"/>
      <c r="AT327" s="60"/>
      <c r="AU327" s="60"/>
      <c r="AV327" s="60"/>
      <c r="AW327" s="60"/>
      <c r="AX327" s="60"/>
      <c r="AY327" s="60"/>
    </row>
    <row r="328" spans="2:51" s="59" customFormat="1" ht="15" customHeight="1">
      <c r="B328" s="203"/>
      <c r="D328" s="186"/>
      <c r="E328" s="197"/>
      <c r="F328" s="207"/>
      <c r="G328" s="198"/>
      <c r="H328" s="199"/>
      <c r="I328" s="199"/>
      <c r="J328" s="187"/>
      <c r="K328" s="200"/>
      <c r="L328" s="363"/>
      <c r="M328" s="369"/>
      <c r="N328" s="364"/>
      <c r="O328" s="725"/>
      <c r="P328" s="725"/>
      <c r="Q328" s="725"/>
      <c r="R328" s="201"/>
      <c r="S328" s="202"/>
      <c r="T328" s="187"/>
      <c r="U328" s="200"/>
      <c r="Z328" s="60"/>
      <c r="AA328" s="60"/>
      <c r="AB328" s="60"/>
      <c r="AC328" s="60"/>
      <c r="AD328" s="60"/>
      <c r="AE328" s="60"/>
      <c r="AF328" s="60"/>
      <c r="AG328" s="60"/>
      <c r="AH328" s="60"/>
      <c r="AI328" s="60"/>
      <c r="AJ328" s="60"/>
      <c r="AR328" s="60"/>
      <c r="AS328" s="60"/>
      <c r="AT328" s="60"/>
      <c r="AU328" s="60"/>
      <c r="AV328" s="60"/>
      <c r="AW328" s="60"/>
      <c r="AX328" s="60"/>
      <c r="AY328" s="60"/>
    </row>
    <row r="329" spans="2:51" s="59" customFormat="1" ht="15" customHeight="1">
      <c r="B329" s="203"/>
      <c r="D329" s="186"/>
      <c r="E329" s="197"/>
      <c r="F329" s="207"/>
      <c r="G329" s="198"/>
      <c r="H329" s="199"/>
      <c r="I329" s="199"/>
      <c r="J329" s="187"/>
      <c r="K329" s="200"/>
      <c r="L329" s="363"/>
      <c r="M329" s="369"/>
      <c r="N329" s="364"/>
      <c r="O329" s="725"/>
      <c r="P329" s="725"/>
      <c r="Q329" s="725"/>
      <c r="R329" s="201"/>
      <c r="S329" s="202"/>
      <c r="T329" s="187"/>
      <c r="U329" s="200"/>
      <c r="Z329" s="60"/>
      <c r="AA329" s="60"/>
      <c r="AB329" s="60"/>
      <c r="AC329" s="60"/>
      <c r="AD329" s="60"/>
      <c r="AE329" s="60"/>
      <c r="AF329" s="60"/>
      <c r="AG329" s="60"/>
      <c r="AH329" s="60"/>
      <c r="AI329" s="60"/>
      <c r="AJ329" s="60"/>
      <c r="AR329" s="60"/>
      <c r="AS329" s="60"/>
      <c r="AT329" s="60"/>
      <c r="AU329" s="60"/>
      <c r="AV329" s="60"/>
      <c r="AW329" s="60"/>
      <c r="AX329" s="60"/>
      <c r="AY329" s="60"/>
    </row>
    <row r="330" spans="2:51" s="59" customFormat="1" ht="15" customHeight="1">
      <c r="B330" s="203"/>
      <c r="D330" s="186"/>
      <c r="E330" s="197"/>
      <c r="F330" s="207"/>
      <c r="G330" s="198"/>
      <c r="H330" s="199"/>
      <c r="I330" s="199"/>
      <c r="J330" s="187"/>
      <c r="K330" s="200"/>
      <c r="L330" s="363"/>
      <c r="M330" s="369"/>
      <c r="N330" s="364"/>
      <c r="O330" s="725"/>
      <c r="P330" s="725"/>
      <c r="Q330" s="725"/>
      <c r="R330" s="201"/>
      <c r="S330" s="202"/>
      <c r="T330" s="187"/>
      <c r="U330" s="200"/>
      <c r="Z330" s="60"/>
      <c r="AA330" s="60"/>
      <c r="AB330" s="60"/>
      <c r="AC330" s="60"/>
      <c r="AD330" s="60"/>
      <c r="AE330" s="60"/>
      <c r="AF330" s="60"/>
      <c r="AG330" s="60"/>
      <c r="AH330" s="60"/>
      <c r="AI330" s="60"/>
      <c r="AJ330" s="60"/>
      <c r="AR330" s="60"/>
      <c r="AS330" s="60"/>
      <c r="AT330" s="60"/>
      <c r="AU330" s="60"/>
      <c r="AV330" s="60"/>
      <c r="AW330" s="60"/>
      <c r="AX330" s="60"/>
      <c r="AY330" s="60"/>
    </row>
    <row r="331" spans="2:51" s="59" customFormat="1" ht="15" customHeight="1">
      <c r="B331" s="203"/>
      <c r="D331" s="186"/>
      <c r="E331" s="197"/>
      <c r="F331" s="207"/>
      <c r="G331" s="198"/>
      <c r="H331" s="199"/>
      <c r="I331" s="199"/>
      <c r="J331" s="187"/>
      <c r="K331" s="200"/>
      <c r="L331" s="363"/>
      <c r="M331" s="369"/>
      <c r="N331" s="364"/>
      <c r="O331" s="725"/>
      <c r="P331" s="725"/>
      <c r="Q331" s="725"/>
      <c r="R331" s="201"/>
      <c r="S331" s="202"/>
      <c r="T331" s="187"/>
      <c r="U331" s="200"/>
      <c r="Z331" s="60"/>
      <c r="AA331" s="60"/>
      <c r="AB331" s="60"/>
      <c r="AC331" s="60"/>
      <c r="AD331" s="60"/>
      <c r="AE331" s="60"/>
      <c r="AF331" s="60"/>
      <c r="AG331" s="60"/>
      <c r="AH331" s="60"/>
      <c r="AI331" s="60"/>
      <c r="AJ331" s="60"/>
      <c r="AR331" s="60"/>
      <c r="AS331" s="60"/>
      <c r="AT331" s="60"/>
      <c r="AU331" s="60"/>
      <c r="AV331" s="60"/>
      <c r="AW331" s="60"/>
      <c r="AX331" s="60"/>
      <c r="AY331" s="60"/>
    </row>
    <row r="332" spans="2:51" s="59" customFormat="1" ht="15" customHeight="1">
      <c r="B332" s="203"/>
      <c r="D332" s="186"/>
      <c r="E332" s="197"/>
      <c r="F332" s="207"/>
      <c r="G332" s="198"/>
      <c r="H332" s="199"/>
      <c r="I332" s="199"/>
      <c r="J332" s="187"/>
      <c r="K332" s="200"/>
      <c r="L332" s="363"/>
      <c r="M332" s="369"/>
      <c r="N332" s="364"/>
      <c r="O332" s="725"/>
      <c r="P332" s="725"/>
      <c r="Q332" s="725"/>
      <c r="R332" s="201"/>
      <c r="S332" s="202"/>
      <c r="T332" s="187"/>
      <c r="U332" s="200"/>
      <c r="Z332" s="60"/>
      <c r="AA332" s="60"/>
      <c r="AB332" s="60"/>
      <c r="AC332" s="60"/>
      <c r="AD332" s="60"/>
      <c r="AE332" s="60"/>
      <c r="AF332" s="60"/>
      <c r="AG332" s="60"/>
      <c r="AH332" s="60"/>
      <c r="AI332" s="60"/>
      <c r="AJ332" s="60"/>
      <c r="AR332" s="60"/>
      <c r="AS332" s="60"/>
      <c r="AT332" s="60"/>
      <c r="AU332" s="60"/>
      <c r="AV332" s="60"/>
      <c r="AW332" s="60"/>
      <c r="AX332" s="60"/>
      <c r="AY332" s="60"/>
    </row>
    <row r="333" spans="2:51" s="59" customFormat="1" ht="15" customHeight="1">
      <c r="B333" s="203"/>
      <c r="D333" s="186"/>
      <c r="E333" s="197"/>
      <c r="F333" s="207"/>
      <c r="G333" s="198"/>
      <c r="H333" s="199"/>
      <c r="I333" s="199"/>
      <c r="J333" s="187"/>
      <c r="K333" s="200"/>
      <c r="L333" s="363"/>
      <c r="M333" s="369"/>
      <c r="N333" s="364"/>
      <c r="O333" s="725"/>
      <c r="P333" s="725"/>
      <c r="Q333" s="725"/>
      <c r="R333" s="201"/>
      <c r="S333" s="202"/>
      <c r="T333" s="187"/>
      <c r="U333" s="200"/>
      <c r="Z333" s="60"/>
      <c r="AA333" s="60"/>
      <c r="AB333" s="60"/>
      <c r="AC333" s="60"/>
      <c r="AD333" s="60"/>
      <c r="AE333" s="60"/>
      <c r="AF333" s="60"/>
      <c r="AG333" s="60"/>
      <c r="AH333" s="60"/>
      <c r="AI333" s="60"/>
      <c r="AJ333" s="60"/>
      <c r="AR333" s="60"/>
      <c r="AS333" s="60"/>
      <c r="AT333" s="60"/>
      <c r="AU333" s="60"/>
      <c r="AV333" s="60"/>
      <c r="AW333" s="60"/>
      <c r="AX333" s="60"/>
      <c r="AY333" s="60"/>
    </row>
    <row r="334" spans="2:51" s="59" customFormat="1" ht="15" customHeight="1">
      <c r="B334" s="203"/>
      <c r="D334" s="186"/>
      <c r="E334" s="197"/>
      <c r="F334" s="207"/>
      <c r="G334" s="198"/>
      <c r="H334" s="199"/>
      <c r="I334" s="199"/>
      <c r="J334" s="187"/>
      <c r="K334" s="200"/>
      <c r="L334" s="363"/>
      <c r="M334" s="369"/>
      <c r="N334" s="364"/>
      <c r="O334" s="725"/>
      <c r="P334" s="725"/>
      <c r="Q334" s="725"/>
      <c r="R334" s="201"/>
      <c r="S334" s="202"/>
      <c r="T334" s="187"/>
      <c r="U334" s="200"/>
      <c r="Z334" s="60"/>
      <c r="AA334" s="60"/>
      <c r="AB334" s="60"/>
      <c r="AC334" s="60"/>
      <c r="AD334" s="60"/>
      <c r="AE334" s="60"/>
      <c r="AF334" s="60"/>
      <c r="AG334" s="60"/>
      <c r="AH334" s="60"/>
      <c r="AI334" s="60"/>
      <c r="AJ334" s="60"/>
      <c r="AR334" s="60"/>
      <c r="AS334" s="60"/>
      <c r="AT334" s="60"/>
      <c r="AU334" s="60"/>
      <c r="AV334" s="60"/>
      <c r="AW334" s="60"/>
      <c r="AX334" s="60"/>
      <c r="AY334" s="60"/>
    </row>
    <row r="335" spans="2:51" s="59" customFormat="1" ht="15" customHeight="1">
      <c r="B335" s="203"/>
      <c r="D335" s="186"/>
      <c r="E335" s="197"/>
      <c r="F335" s="207"/>
      <c r="G335" s="198"/>
      <c r="H335" s="199"/>
      <c r="I335" s="199"/>
      <c r="J335" s="187"/>
      <c r="K335" s="200"/>
      <c r="L335" s="363"/>
      <c r="M335" s="369"/>
      <c r="N335" s="364"/>
      <c r="O335" s="725"/>
      <c r="P335" s="725"/>
      <c r="Q335" s="725"/>
      <c r="R335" s="201"/>
      <c r="S335" s="202"/>
      <c r="T335" s="187"/>
      <c r="U335" s="200"/>
      <c r="Z335" s="60"/>
      <c r="AA335" s="60"/>
      <c r="AB335" s="60"/>
      <c r="AC335" s="60"/>
      <c r="AD335" s="60"/>
      <c r="AE335" s="60"/>
      <c r="AF335" s="60"/>
      <c r="AG335" s="60"/>
      <c r="AH335" s="60"/>
      <c r="AI335" s="60"/>
      <c r="AJ335" s="60"/>
      <c r="AR335" s="60"/>
      <c r="AS335" s="60"/>
      <c r="AT335" s="60"/>
      <c r="AU335" s="60"/>
      <c r="AV335" s="60"/>
      <c r="AW335" s="60"/>
      <c r="AX335" s="60"/>
      <c r="AY335" s="60"/>
    </row>
    <row r="336" spans="2:51" s="59" customFormat="1" ht="15" customHeight="1">
      <c r="B336" s="203"/>
      <c r="D336" s="186"/>
      <c r="E336" s="197"/>
      <c r="F336" s="207"/>
      <c r="G336" s="198"/>
      <c r="H336" s="199"/>
      <c r="I336" s="199"/>
      <c r="J336" s="187"/>
      <c r="K336" s="200"/>
      <c r="L336" s="363"/>
      <c r="M336" s="369"/>
      <c r="N336" s="364"/>
      <c r="O336" s="725"/>
      <c r="P336" s="725"/>
      <c r="Q336" s="725"/>
      <c r="R336" s="201"/>
      <c r="S336" s="202"/>
      <c r="T336" s="187"/>
      <c r="U336" s="200"/>
      <c r="Z336" s="60"/>
      <c r="AA336" s="60"/>
      <c r="AB336" s="60"/>
      <c r="AC336" s="60"/>
      <c r="AD336" s="60"/>
      <c r="AE336" s="60"/>
      <c r="AF336" s="60"/>
      <c r="AG336" s="60"/>
      <c r="AH336" s="60"/>
      <c r="AI336" s="60"/>
      <c r="AJ336" s="60"/>
      <c r="AR336" s="60"/>
      <c r="AS336" s="60"/>
      <c r="AT336" s="60"/>
      <c r="AU336" s="60"/>
      <c r="AV336" s="60"/>
      <c r="AW336" s="60"/>
      <c r="AX336" s="60"/>
      <c r="AY336" s="60"/>
    </row>
    <row r="337" spans="2:51" s="59" customFormat="1" ht="15" customHeight="1">
      <c r="B337" s="203"/>
      <c r="D337" s="186"/>
      <c r="E337" s="197"/>
      <c r="F337" s="207"/>
      <c r="G337" s="198"/>
      <c r="H337" s="199"/>
      <c r="I337" s="199"/>
      <c r="J337" s="187"/>
      <c r="K337" s="200"/>
      <c r="L337" s="363"/>
      <c r="M337" s="369"/>
      <c r="N337" s="364"/>
      <c r="O337" s="725"/>
      <c r="P337" s="725"/>
      <c r="Q337" s="725"/>
      <c r="R337" s="201"/>
      <c r="S337" s="202"/>
      <c r="T337" s="187"/>
      <c r="U337" s="200"/>
      <c r="Z337" s="60"/>
      <c r="AA337" s="60"/>
      <c r="AB337" s="60"/>
      <c r="AC337" s="60"/>
      <c r="AD337" s="60"/>
      <c r="AE337" s="60"/>
      <c r="AF337" s="60"/>
      <c r="AG337" s="60"/>
      <c r="AH337" s="60"/>
      <c r="AI337" s="60"/>
      <c r="AJ337" s="60"/>
      <c r="AR337" s="60"/>
      <c r="AS337" s="60"/>
      <c r="AT337" s="60"/>
      <c r="AU337" s="60"/>
      <c r="AV337" s="60"/>
      <c r="AW337" s="60"/>
      <c r="AX337" s="60"/>
      <c r="AY337" s="60"/>
    </row>
    <row r="338" spans="2:51" s="59" customFormat="1" ht="15" customHeight="1">
      <c r="B338" s="203"/>
      <c r="D338" s="186"/>
      <c r="E338" s="197"/>
      <c r="F338" s="207"/>
      <c r="G338" s="198"/>
      <c r="H338" s="199"/>
      <c r="I338" s="199"/>
      <c r="J338" s="187"/>
      <c r="K338" s="200"/>
      <c r="L338" s="363"/>
      <c r="M338" s="369"/>
      <c r="N338" s="364"/>
      <c r="O338" s="725"/>
      <c r="P338" s="725"/>
      <c r="Q338" s="725"/>
      <c r="R338" s="201"/>
      <c r="S338" s="202"/>
      <c r="T338" s="187"/>
      <c r="U338" s="200"/>
      <c r="Z338" s="60"/>
      <c r="AA338" s="60"/>
      <c r="AB338" s="60"/>
      <c r="AC338" s="60"/>
      <c r="AD338" s="60"/>
      <c r="AE338" s="60"/>
      <c r="AF338" s="60"/>
      <c r="AG338" s="60"/>
      <c r="AH338" s="60"/>
      <c r="AI338" s="60"/>
      <c r="AJ338" s="60"/>
      <c r="AR338" s="60"/>
      <c r="AS338" s="60"/>
      <c r="AT338" s="60"/>
      <c r="AU338" s="60"/>
      <c r="AV338" s="60"/>
      <c r="AW338" s="60"/>
      <c r="AX338" s="60"/>
      <c r="AY338" s="60"/>
    </row>
    <row r="339" spans="2:51" s="59" customFormat="1" ht="15" customHeight="1">
      <c r="B339" s="203"/>
      <c r="D339" s="186"/>
      <c r="E339" s="197"/>
      <c r="F339" s="207"/>
      <c r="G339" s="198"/>
      <c r="H339" s="199"/>
      <c r="I339" s="199"/>
      <c r="J339" s="187"/>
      <c r="K339" s="200"/>
      <c r="L339" s="363"/>
      <c r="M339" s="369"/>
      <c r="N339" s="364"/>
      <c r="O339" s="725"/>
      <c r="P339" s="725"/>
      <c r="Q339" s="725"/>
      <c r="R339" s="201"/>
      <c r="S339" s="202"/>
      <c r="T339" s="187"/>
      <c r="U339" s="200"/>
      <c r="Z339" s="60"/>
      <c r="AA339" s="60"/>
      <c r="AB339" s="60"/>
      <c r="AC339" s="60"/>
      <c r="AD339" s="60"/>
      <c r="AE339" s="60"/>
      <c r="AF339" s="60"/>
      <c r="AG339" s="60"/>
      <c r="AH339" s="60"/>
      <c r="AI339" s="60"/>
      <c r="AJ339" s="60"/>
      <c r="AR339" s="60"/>
      <c r="AS339" s="60"/>
      <c r="AT339" s="60"/>
      <c r="AU339" s="60"/>
      <c r="AV339" s="60"/>
      <c r="AW339" s="60"/>
      <c r="AX339" s="60"/>
      <c r="AY339" s="60"/>
    </row>
    <row r="340" spans="2:51" s="59" customFormat="1" ht="15" customHeight="1">
      <c r="B340" s="203"/>
      <c r="D340" s="186"/>
      <c r="E340" s="197"/>
      <c r="F340" s="207"/>
      <c r="G340" s="198"/>
      <c r="H340" s="199"/>
      <c r="I340" s="199"/>
      <c r="J340" s="187"/>
      <c r="K340" s="200"/>
      <c r="L340" s="363"/>
      <c r="M340" s="369"/>
      <c r="N340" s="364"/>
      <c r="O340" s="725"/>
      <c r="P340" s="725"/>
      <c r="Q340" s="725"/>
      <c r="R340" s="201"/>
      <c r="S340" s="202"/>
      <c r="T340" s="187"/>
      <c r="U340" s="200"/>
      <c r="Z340" s="60"/>
      <c r="AA340" s="60"/>
      <c r="AB340" s="60"/>
      <c r="AC340" s="60"/>
      <c r="AD340" s="60"/>
      <c r="AE340" s="60"/>
      <c r="AF340" s="60"/>
      <c r="AG340" s="60"/>
      <c r="AH340" s="60"/>
      <c r="AI340" s="60"/>
      <c r="AJ340" s="60"/>
      <c r="AR340" s="60"/>
      <c r="AS340" s="60"/>
      <c r="AT340" s="60"/>
      <c r="AU340" s="60"/>
      <c r="AV340" s="60"/>
      <c r="AW340" s="60"/>
      <c r="AX340" s="60"/>
      <c r="AY340" s="60"/>
    </row>
    <row r="341" spans="2:51" s="59" customFormat="1" ht="15" customHeight="1">
      <c r="B341" s="203"/>
      <c r="D341" s="186"/>
      <c r="E341" s="197"/>
      <c r="F341" s="207"/>
      <c r="G341" s="198"/>
      <c r="H341" s="199"/>
      <c r="I341" s="199"/>
      <c r="J341" s="187"/>
      <c r="K341" s="200"/>
      <c r="L341" s="363"/>
      <c r="M341" s="369"/>
      <c r="N341" s="364"/>
      <c r="O341" s="725"/>
      <c r="P341" s="725"/>
      <c r="Q341" s="725"/>
      <c r="R341" s="201"/>
      <c r="S341" s="202"/>
      <c r="T341" s="187"/>
      <c r="U341" s="200"/>
      <c r="Z341" s="60"/>
      <c r="AA341" s="60"/>
      <c r="AB341" s="60"/>
      <c r="AC341" s="60"/>
      <c r="AD341" s="60"/>
      <c r="AE341" s="60"/>
      <c r="AF341" s="60"/>
      <c r="AG341" s="60"/>
      <c r="AH341" s="60"/>
      <c r="AI341" s="60"/>
      <c r="AJ341" s="60"/>
      <c r="AR341" s="60"/>
      <c r="AS341" s="60"/>
      <c r="AT341" s="60"/>
      <c r="AU341" s="60"/>
      <c r="AV341" s="60"/>
      <c r="AW341" s="60"/>
      <c r="AX341" s="60"/>
      <c r="AY341" s="60"/>
    </row>
    <row r="342" spans="2:51" s="59" customFormat="1" ht="15" customHeight="1">
      <c r="B342" s="203"/>
      <c r="D342" s="186"/>
      <c r="E342" s="197"/>
      <c r="F342" s="207"/>
      <c r="G342" s="198"/>
      <c r="H342" s="199"/>
      <c r="I342" s="199"/>
      <c r="J342" s="187"/>
      <c r="K342" s="200"/>
      <c r="L342" s="363"/>
      <c r="M342" s="369"/>
      <c r="N342" s="364"/>
      <c r="O342" s="725"/>
      <c r="P342" s="725"/>
      <c r="Q342" s="725"/>
      <c r="R342" s="201"/>
      <c r="S342" s="202"/>
      <c r="T342" s="187"/>
      <c r="U342" s="200"/>
      <c r="Z342" s="60"/>
      <c r="AA342" s="60"/>
      <c r="AB342" s="60"/>
      <c r="AC342" s="60"/>
      <c r="AD342" s="60"/>
      <c r="AE342" s="60"/>
      <c r="AF342" s="60"/>
      <c r="AG342" s="60"/>
      <c r="AH342" s="60"/>
      <c r="AI342" s="60"/>
      <c r="AJ342" s="60"/>
      <c r="AR342" s="60"/>
      <c r="AS342" s="60"/>
      <c r="AT342" s="60"/>
      <c r="AU342" s="60"/>
      <c r="AV342" s="60"/>
      <c r="AW342" s="60"/>
      <c r="AX342" s="60"/>
      <c r="AY342" s="60"/>
    </row>
    <row r="343" spans="2:51" s="59" customFormat="1" ht="15" customHeight="1">
      <c r="B343" s="203"/>
      <c r="D343" s="186"/>
      <c r="E343" s="197"/>
      <c r="F343" s="207"/>
      <c r="G343" s="198"/>
      <c r="H343" s="199"/>
      <c r="I343" s="199"/>
      <c r="J343" s="187"/>
      <c r="K343" s="200"/>
      <c r="L343" s="363"/>
      <c r="M343" s="369"/>
      <c r="N343" s="364"/>
      <c r="O343" s="725"/>
      <c r="P343" s="725"/>
      <c r="Q343" s="725"/>
      <c r="R343" s="201"/>
      <c r="S343" s="202"/>
      <c r="T343" s="187"/>
      <c r="U343" s="200"/>
      <c r="Z343" s="60"/>
      <c r="AA343" s="60"/>
      <c r="AB343" s="60"/>
      <c r="AC343" s="60"/>
      <c r="AD343" s="60"/>
      <c r="AE343" s="60"/>
      <c r="AF343" s="60"/>
      <c r="AG343" s="60"/>
      <c r="AH343" s="60"/>
      <c r="AI343" s="60"/>
      <c r="AJ343" s="60"/>
      <c r="AR343" s="60"/>
      <c r="AS343" s="60"/>
      <c r="AT343" s="60"/>
      <c r="AU343" s="60"/>
      <c r="AV343" s="60"/>
      <c r="AW343" s="60"/>
      <c r="AX343" s="60"/>
      <c r="AY343" s="60"/>
    </row>
    <row r="344" spans="2:51" s="183" customFormat="1" ht="15" customHeight="1">
      <c r="B344" s="203"/>
      <c r="C344" s="59"/>
      <c r="D344" s="186"/>
      <c r="E344" s="197"/>
      <c r="F344" s="207"/>
      <c r="G344" s="198"/>
      <c r="H344" s="199"/>
      <c r="I344" s="199"/>
      <c r="J344" s="187"/>
      <c r="K344" s="200"/>
      <c r="L344" s="363"/>
      <c r="M344" s="369"/>
      <c r="N344" s="364"/>
      <c r="O344" s="725"/>
      <c r="P344" s="725"/>
      <c r="Q344" s="725"/>
      <c r="R344" s="201"/>
      <c r="S344" s="202"/>
      <c r="T344" s="187"/>
      <c r="U344" s="200"/>
      <c r="V344" s="59"/>
      <c r="Z344" s="108"/>
      <c r="AA344" s="60"/>
      <c r="AB344" s="60"/>
      <c r="AC344" s="60"/>
      <c r="AD344" s="60"/>
      <c r="AE344" s="60"/>
      <c r="AF344" s="60"/>
      <c r="AG344" s="60"/>
      <c r="AH344" s="60"/>
      <c r="AI344" s="108"/>
      <c r="AJ344" s="108"/>
      <c r="AK344" s="204"/>
      <c r="AL344" s="204"/>
      <c r="AM344" s="204"/>
      <c r="AN344" s="204"/>
      <c r="AO344" s="204"/>
      <c r="AP344" s="204"/>
      <c r="AR344" s="108"/>
      <c r="AS344" s="108"/>
      <c r="AT344" s="108"/>
      <c r="AU344" s="108"/>
      <c r="AV344" s="108"/>
      <c r="AW344" s="108"/>
      <c r="AX344" s="108"/>
      <c r="AY344" s="108"/>
    </row>
    <row r="345" spans="2:51" s="59" customFormat="1" ht="15" customHeight="1">
      <c r="B345" s="203"/>
      <c r="D345" s="186"/>
      <c r="E345" s="197"/>
      <c r="F345" s="207"/>
      <c r="G345" s="198"/>
      <c r="H345" s="199"/>
      <c r="I345" s="199"/>
      <c r="J345" s="187"/>
      <c r="K345" s="200"/>
      <c r="L345" s="363"/>
      <c r="M345" s="369"/>
      <c r="N345" s="364"/>
      <c r="O345" s="725"/>
      <c r="P345" s="725"/>
      <c r="Q345" s="725"/>
      <c r="R345" s="201"/>
      <c r="S345" s="202"/>
      <c r="T345" s="187"/>
      <c r="U345" s="200"/>
      <c r="Z345" s="60"/>
      <c r="AA345" s="60"/>
      <c r="AB345" s="60"/>
      <c r="AC345" s="60"/>
      <c r="AD345" s="60"/>
      <c r="AE345" s="60"/>
      <c r="AF345" s="60"/>
      <c r="AG345" s="60"/>
      <c r="AH345" s="60"/>
      <c r="AI345" s="60"/>
      <c r="AJ345" s="60"/>
      <c r="AR345" s="60"/>
      <c r="AS345" s="60"/>
      <c r="AT345" s="60"/>
      <c r="AU345" s="60"/>
      <c r="AV345" s="60"/>
      <c r="AW345" s="60"/>
      <c r="AX345" s="60"/>
      <c r="AY345" s="60"/>
    </row>
    <row r="346" spans="2:51" s="59" customFormat="1" ht="15" customHeight="1">
      <c r="B346" s="203"/>
      <c r="D346" s="186"/>
      <c r="E346" s="201"/>
      <c r="F346" s="202"/>
      <c r="G346" s="187"/>
      <c r="H346" s="187"/>
      <c r="I346" s="187"/>
      <c r="J346" s="187"/>
      <c r="K346" s="200"/>
      <c r="L346" s="363"/>
      <c r="M346" s="369"/>
      <c r="N346" s="364"/>
      <c r="O346" s="725"/>
      <c r="P346" s="725"/>
      <c r="Q346" s="725"/>
      <c r="R346" s="201"/>
      <c r="S346" s="202"/>
      <c r="T346" s="187"/>
      <c r="U346" s="200"/>
      <c r="Z346" s="60"/>
      <c r="AA346" s="60"/>
      <c r="AB346" s="60"/>
      <c r="AC346" s="60"/>
      <c r="AD346" s="60"/>
      <c r="AE346" s="60"/>
      <c r="AF346" s="60"/>
      <c r="AG346" s="60"/>
      <c r="AH346" s="60"/>
      <c r="AI346" s="60"/>
      <c r="AJ346" s="60"/>
      <c r="AR346" s="60"/>
      <c r="AS346" s="60"/>
      <c r="AT346" s="60"/>
      <c r="AU346" s="60"/>
      <c r="AV346" s="60"/>
      <c r="AW346" s="60"/>
      <c r="AX346" s="60"/>
      <c r="AY346" s="60"/>
    </row>
    <row r="347" spans="2:51" s="59" customFormat="1" ht="15" customHeight="1">
      <c r="B347" s="203"/>
      <c r="D347" s="186"/>
      <c r="E347" s="201"/>
      <c r="F347" s="187"/>
      <c r="G347" s="187"/>
      <c r="H347" s="187"/>
      <c r="I347" s="187"/>
      <c r="J347" s="187"/>
      <c r="K347" s="188"/>
      <c r="L347" s="363"/>
      <c r="M347" s="364"/>
      <c r="N347" s="364"/>
      <c r="O347" s="365"/>
      <c r="P347" s="365"/>
      <c r="Q347" s="188"/>
      <c r="R347" s="201"/>
      <c r="S347" s="187"/>
      <c r="T347" s="187"/>
      <c r="U347" s="188"/>
      <c r="Z347" s="60"/>
      <c r="AA347" s="60"/>
      <c r="AB347" s="60"/>
      <c r="AC347" s="60"/>
      <c r="AD347" s="60"/>
      <c r="AE347" s="60"/>
      <c r="AF347" s="60"/>
      <c r="AG347" s="60"/>
      <c r="AH347" s="60"/>
      <c r="AI347" s="60"/>
      <c r="AJ347" s="60"/>
      <c r="AR347" s="60"/>
      <c r="AS347" s="60"/>
      <c r="AT347" s="60"/>
      <c r="AU347" s="60"/>
      <c r="AV347" s="60"/>
      <c r="AW347" s="60"/>
      <c r="AX347" s="60"/>
      <c r="AY347" s="60"/>
    </row>
    <row r="348" spans="2:51" s="59" customFormat="1" ht="15" customHeight="1">
      <c r="B348" s="203"/>
      <c r="D348" s="186"/>
      <c r="E348" s="201"/>
      <c r="F348" s="199"/>
      <c r="G348" s="199"/>
      <c r="H348" s="199"/>
      <c r="I348" s="199"/>
      <c r="J348" s="199"/>
      <c r="K348" s="188"/>
      <c r="L348" s="363"/>
      <c r="M348" s="366"/>
      <c r="N348" s="366"/>
      <c r="O348" s="365"/>
      <c r="P348" s="365"/>
      <c r="Q348" s="188"/>
      <c r="R348" s="201"/>
      <c r="S348" s="199"/>
      <c r="T348" s="199"/>
      <c r="U348" s="188"/>
      <c r="Z348" s="60"/>
      <c r="AA348" s="60"/>
      <c r="AB348" s="60"/>
      <c r="AC348" s="60"/>
      <c r="AD348" s="60"/>
      <c r="AE348" s="60"/>
      <c r="AF348" s="60"/>
      <c r="AG348" s="60"/>
      <c r="AH348" s="60"/>
      <c r="AI348" s="60"/>
      <c r="AJ348" s="60"/>
      <c r="AR348" s="60"/>
      <c r="AS348" s="60"/>
      <c r="AT348" s="60"/>
      <c r="AU348" s="60"/>
      <c r="AV348" s="60"/>
      <c r="AW348" s="60"/>
      <c r="AX348" s="60"/>
      <c r="AY348" s="60"/>
    </row>
    <row r="349" spans="2:51" s="59" customFormat="1" ht="15" customHeight="1">
      <c r="B349" s="203"/>
      <c r="D349" s="186"/>
      <c r="E349" s="201"/>
      <c r="F349" s="199"/>
      <c r="G349" s="199"/>
      <c r="H349" s="199"/>
      <c r="I349" s="199"/>
      <c r="J349" s="199"/>
      <c r="K349" s="188"/>
      <c r="L349" s="363"/>
      <c r="M349" s="366"/>
      <c r="N349" s="366"/>
      <c r="O349" s="365"/>
      <c r="P349" s="365"/>
      <c r="Q349" s="188"/>
      <c r="R349" s="201"/>
      <c r="S349" s="199"/>
      <c r="T349" s="199"/>
      <c r="U349" s="188"/>
      <c r="Z349" s="60"/>
      <c r="AA349" s="60"/>
      <c r="AB349" s="60"/>
      <c r="AC349" s="60"/>
      <c r="AD349" s="60"/>
      <c r="AE349" s="60"/>
      <c r="AF349" s="60"/>
      <c r="AG349" s="60"/>
      <c r="AH349" s="60"/>
      <c r="AI349" s="60"/>
      <c r="AJ349" s="60"/>
      <c r="AR349" s="60"/>
      <c r="AS349" s="60"/>
      <c r="AT349" s="60"/>
      <c r="AU349" s="60"/>
      <c r="AV349" s="60"/>
      <c r="AW349" s="60"/>
      <c r="AX349" s="60"/>
      <c r="AY349" s="60"/>
    </row>
    <row r="350" spans="2:51" s="59" customFormat="1" ht="15" customHeight="1">
      <c r="B350" s="203"/>
      <c r="D350" s="186"/>
      <c r="E350" s="201"/>
      <c r="F350" s="201"/>
      <c r="G350" s="201"/>
      <c r="H350" s="201"/>
      <c r="I350" s="201"/>
      <c r="J350" s="201"/>
      <c r="K350" s="188"/>
      <c r="L350" s="363"/>
      <c r="M350" s="363"/>
      <c r="N350" s="363"/>
      <c r="O350" s="365"/>
      <c r="P350" s="365"/>
      <c r="Q350" s="188"/>
      <c r="R350" s="201"/>
      <c r="S350" s="201"/>
      <c r="T350" s="201"/>
      <c r="U350" s="188"/>
      <c r="Z350" s="60"/>
      <c r="AA350" s="60"/>
      <c r="AB350" s="60"/>
      <c r="AC350" s="60"/>
      <c r="AD350" s="60"/>
      <c r="AE350" s="60"/>
      <c r="AF350" s="60"/>
      <c r="AG350" s="60"/>
      <c r="AH350" s="60"/>
      <c r="AI350" s="60"/>
      <c r="AJ350" s="60"/>
      <c r="AR350" s="60"/>
      <c r="AS350" s="60"/>
      <c r="AT350" s="60"/>
      <c r="AU350" s="60"/>
      <c r="AV350" s="60"/>
      <c r="AW350" s="60"/>
      <c r="AX350" s="60"/>
      <c r="AY350" s="60"/>
    </row>
    <row r="351" spans="2:51" s="59" customFormat="1" ht="15" customHeight="1">
      <c r="B351" s="194"/>
      <c r="C351" s="183"/>
      <c r="D351" s="726"/>
      <c r="E351" s="726"/>
      <c r="F351" s="726"/>
      <c r="G351" s="726"/>
      <c r="H351" s="189"/>
      <c r="I351" s="189"/>
      <c r="J351" s="189"/>
      <c r="K351" s="195"/>
      <c r="L351" s="367"/>
      <c r="M351" s="367"/>
      <c r="N351" s="367"/>
      <c r="O351" s="368"/>
      <c r="P351" s="368"/>
      <c r="Q351" s="195"/>
      <c r="R351" s="196"/>
      <c r="S351" s="196"/>
      <c r="T351" s="196"/>
      <c r="U351" s="195"/>
      <c r="V351" s="183"/>
      <c r="Z351" s="60"/>
      <c r="AA351" s="60"/>
      <c r="AB351" s="60"/>
      <c r="AC351" s="60"/>
      <c r="AD351" s="60"/>
      <c r="AE351" s="60"/>
      <c r="AF351" s="60"/>
      <c r="AG351" s="60"/>
      <c r="AH351" s="60"/>
      <c r="AI351" s="60"/>
      <c r="AJ351" s="60"/>
      <c r="AR351" s="60"/>
      <c r="AS351" s="60"/>
      <c r="AT351" s="60"/>
      <c r="AU351" s="60"/>
      <c r="AV351" s="60"/>
      <c r="AW351" s="60"/>
      <c r="AX351" s="60"/>
      <c r="AY351" s="60"/>
    </row>
    <row r="352" spans="2:51" s="59" customFormat="1" ht="15" customHeight="1">
      <c r="B352" s="184"/>
      <c r="C352" s="185"/>
      <c r="D352" s="186"/>
      <c r="E352" s="197"/>
      <c r="F352" s="207"/>
      <c r="G352" s="198"/>
      <c r="H352" s="199"/>
      <c r="I352" s="199"/>
      <c r="J352" s="187"/>
      <c r="K352" s="200"/>
      <c r="L352" s="363"/>
      <c r="M352" s="369"/>
      <c r="N352" s="364"/>
      <c r="O352" s="725"/>
      <c r="P352" s="725"/>
      <c r="Q352" s="725"/>
      <c r="R352" s="201"/>
      <c r="S352" s="202"/>
      <c r="T352" s="187"/>
      <c r="U352" s="200"/>
      <c r="Z352" s="60"/>
      <c r="AA352" s="60"/>
      <c r="AB352" s="60"/>
      <c r="AC352" s="60"/>
      <c r="AD352" s="60"/>
      <c r="AE352" s="60"/>
      <c r="AF352" s="60"/>
      <c r="AG352" s="60"/>
      <c r="AH352" s="60"/>
      <c r="AI352" s="60"/>
      <c r="AJ352" s="60"/>
      <c r="AR352" s="60"/>
      <c r="AS352" s="60"/>
      <c r="AT352" s="60"/>
      <c r="AU352" s="60"/>
      <c r="AV352" s="60"/>
      <c r="AW352" s="60"/>
      <c r="AX352" s="60"/>
      <c r="AY352" s="60"/>
    </row>
    <row r="353" spans="2:51" s="59" customFormat="1" ht="15" customHeight="1">
      <c r="B353" s="184"/>
      <c r="D353" s="186"/>
      <c r="E353" s="197"/>
      <c r="F353" s="207"/>
      <c r="G353" s="198"/>
      <c r="H353" s="199"/>
      <c r="I353" s="199"/>
      <c r="J353" s="187"/>
      <c r="K353" s="200"/>
      <c r="L353" s="363"/>
      <c r="M353" s="369"/>
      <c r="N353" s="364"/>
      <c r="O353" s="725"/>
      <c r="P353" s="725"/>
      <c r="Q353" s="725"/>
      <c r="R353" s="201"/>
      <c r="S353" s="202"/>
      <c r="T353" s="187"/>
      <c r="U353" s="200"/>
      <c r="Z353" s="60"/>
      <c r="AA353" s="60"/>
      <c r="AB353" s="60"/>
      <c r="AC353" s="60"/>
      <c r="AD353" s="60"/>
      <c r="AE353" s="60"/>
      <c r="AF353" s="60"/>
      <c r="AG353" s="60"/>
      <c r="AH353" s="60"/>
      <c r="AI353" s="60"/>
      <c r="AJ353" s="60"/>
      <c r="AR353" s="60"/>
      <c r="AS353" s="60"/>
      <c r="AT353" s="60"/>
      <c r="AU353" s="60"/>
      <c r="AV353" s="60"/>
      <c r="AW353" s="60"/>
      <c r="AX353" s="60"/>
      <c r="AY353" s="60"/>
    </row>
    <row r="354" spans="2:51" s="59" customFormat="1" ht="15" customHeight="1">
      <c r="B354" s="184"/>
      <c r="D354" s="186"/>
      <c r="E354" s="197"/>
      <c r="F354" s="207"/>
      <c r="G354" s="198"/>
      <c r="H354" s="199"/>
      <c r="I354" s="199"/>
      <c r="J354" s="187"/>
      <c r="K354" s="200"/>
      <c r="L354" s="363"/>
      <c r="M354" s="369"/>
      <c r="N354" s="364"/>
      <c r="O354" s="725"/>
      <c r="P354" s="725"/>
      <c r="Q354" s="725"/>
      <c r="R354" s="201"/>
      <c r="S354" s="202"/>
      <c r="T354" s="187"/>
      <c r="U354" s="200"/>
      <c r="Z354" s="60"/>
      <c r="AA354" s="60"/>
      <c r="AB354" s="60"/>
      <c r="AC354" s="60"/>
      <c r="AD354" s="60"/>
      <c r="AE354" s="60"/>
      <c r="AF354" s="60"/>
      <c r="AG354" s="60"/>
      <c r="AH354" s="60"/>
      <c r="AI354" s="60"/>
      <c r="AJ354" s="60"/>
      <c r="AR354" s="60"/>
      <c r="AS354" s="60"/>
      <c r="AT354" s="60"/>
      <c r="AU354" s="60"/>
      <c r="AV354" s="60"/>
      <c r="AW354" s="60"/>
      <c r="AX354" s="60"/>
      <c r="AY354" s="60"/>
    </row>
    <row r="355" spans="2:51" s="59" customFormat="1" ht="15" customHeight="1">
      <c r="B355" s="184"/>
      <c r="D355" s="186"/>
      <c r="E355" s="197"/>
      <c r="F355" s="207"/>
      <c r="G355" s="198"/>
      <c r="H355" s="199"/>
      <c r="I355" s="199"/>
      <c r="J355" s="187"/>
      <c r="K355" s="200"/>
      <c r="L355" s="363"/>
      <c r="M355" s="369"/>
      <c r="N355" s="364"/>
      <c r="O355" s="725"/>
      <c r="P355" s="725"/>
      <c r="Q355" s="725"/>
      <c r="R355" s="201"/>
      <c r="S355" s="202"/>
      <c r="T355" s="187"/>
      <c r="U355" s="200"/>
      <c r="Z355" s="60"/>
      <c r="AA355" s="60"/>
      <c r="AB355" s="60"/>
      <c r="AC355" s="60"/>
      <c r="AD355" s="60"/>
      <c r="AE355" s="60"/>
      <c r="AF355" s="60"/>
      <c r="AG355" s="60"/>
      <c r="AH355" s="60"/>
      <c r="AI355" s="60"/>
      <c r="AJ355" s="60"/>
      <c r="AR355" s="60"/>
      <c r="AS355" s="60"/>
      <c r="AT355" s="60"/>
      <c r="AU355" s="60"/>
      <c r="AV355" s="60"/>
      <c r="AW355" s="60"/>
      <c r="AX355" s="60"/>
      <c r="AY355" s="60"/>
    </row>
    <row r="356" spans="2:51" s="59" customFormat="1" ht="15" customHeight="1">
      <c r="B356" s="184"/>
      <c r="D356" s="186"/>
      <c r="E356" s="197"/>
      <c r="F356" s="207"/>
      <c r="G356" s="198"/>
      <c r="H356" s="199"/>
      <c r="I356" s="199"/>
      <c r="J356" s="187"/>
      <c r="K356" s="200"/>
      <c r="L356" s="363"/>
      <c r="M356" s="369"/>
      <c r="N356" s="364"/>
      <c r="O356" s="725"/>
      <c r="P356" s="725"/>
      <c r="Q356" s="725"/>
      <c r="R356" s="201"/>
      <c r="S356" s="202"/>
      <c r="T356" s="187"/>
      <c r="U356" s="200"/>
      <c r="Z356" s="60"/>
      <c r="AA356" s="60"/>
      <c r="AB356" s="60"/>
      <c r="AC356" s="60"/>
      <c r="AD356" s="60"/>
      <c r="AE356" s="60"/>
      <c r="AF356" s="60"/>
      <c r="AG356" s="60"/>
      <c r="AH356" s="60"/>
      <c r="AI356" s="60"/>
      <c r="AJ356" s="60"/>
      <c r="AR356" s="60"/>
      <c r="AS356" s="60"/>
      <c r="AT356" s="60"/>
      <c r="AU356" s="60"/>
      <c r="AV356" s="60"/>
      <c r="AW356" s="60"/>
      <c r="AX356" s="60"/>
      <c r="AY356" s="60"/>
    </row>
    <row r="357" spans="2:51" s="59" customFormat="1" ht="15" customHeight="1">
      <c r="B357" s="184"/>
      <c r="D357" s="186"/>
      <c r="E357" s="197"/>
      <c r="F357" s="207"/>
      <c r="G357" s="198"/>
      <c r="H357" s="199"/>
      <c r="I357" s="199"/>
      <c r="J357" s="187"/>
      <c r="K357" s="200"/>
      <c r="L357" s="363"/>
      <c r="M357" s="369"/>
      <c r="N357" s="364"/>
      <c r="O357" s="725"/>
      <c r="P357" s="725"/>
      <c r="Q357" s="725"/>
      <c r="R357" s="201"/>
      <c r="S357" s="202"/>
      <c r="T357" s="187"/>
      <c r="U357" s="200"/>
      <c r="Z357" s="60"/>
      <c r="AA357" s="60"/>
      <c r="AB357" s="60"/>
      <c r="AC357" s="60"/>
      <c r="AD357" s="60"/>
      <c r="AE357" s="60"/>
      <c r="AF357" s="60"/>
      <c r="AG357" s="60"/>
      <c r="AH357" s="60"/>
      <c r="AI357" s="60"/>
      <c r="AJ357" s="60"/>
      <c r="AR357" s="60"/>
      <c r="AS357" s="60"/>
      <c r="AT357" s="60"/>
      <c r="AU357" s="60"/>
      <c r="AV357" s="60"/>
      <c r="AW357" s="60"/>
      <c r="AX357" s="60"/>
      <c r="AY357" s="60"/>
    </row>
    <row r="358" spans="2:51" s="59" customFormat="1" ht="15" customHeight="1">
      <c r="B358" s="184"/>
      <c r="D358" s="186"/>
      <c r="E358" s="197"/>
      <c r="F358" s="207"/>
      <c r="G358" s="198"/>
      <c r="H358" s="199"/>
      <c r="I358" s="199"/>
      <c r="J358" s="187"/>
      <c r="K358" s="200"/>
      <c r="L358" s="363"/>
      <c r="M358" s="369"/>
      <c r="N358" s="364"/>
      <c r="O358" s="725"/>
      <c r="P358" s="725"/>
      <c r="Q358" s="725"/>
      <c r="R358" s="201"/>
      <c r="S358" s="202"/>
      <c r="T358" s="187"/>
      <c r="U358" s="200"/>
      <c r="Z358" s="60"/>
      <c r="AA358" s="60"/>
      <c r="AB358" s="60"/>
      <c r="AC358" s="60"/>
      <c r="AD358" s="60"/>
      <c r="AE358" s="60"/>
      <c r="AF358" s="60"/>
      <c r="AG358" s="60"/>
      <c r="AH358" s="60"/>
      <c r="AI358" s="60"/>
      <c r="AJ358" s="60"/>
      <c r="AR358" s="60"/>
      <c r="AS358" s="60"/>
      <c r="AT358" s="60"/>
      <c r="AU358" s="60"/>
      <c r="AV358" s="60"/>
      <c r="AW358" s="60"/>
      <c r="AX358" s="60"/>
      <c r="AY358" s="60"/>
    </row>
    <row r="359" spans="2:51" s="59" customFormat="1" ht="15" customHeight="1">
      <c r="B359" s="184"/>
      <c r="D359" s="186"/>
      <c r="E359" s="197"/>
      <c r="F359" s="207"/>
      <c r="G359" s="198"/>
      <c r="H359" s="199"/>
      <c r="I359" s="199"/>
      <c r="J359" s="187"/>
      <c r="K359" s="200"/>
      <c r="L359" s="363"/>
      <c r="M359" s="369"/>
      <c r="N359" s="364"/>
      <c r="O359" s="725"/>
      <c r="P359" s="725"/>
      <c r="Q359" s="725"/>
      <c r="R359" s="201"/>
      <c r="S359" s="202"/>
      <c r="T359" s="187"/>
      <c r="U359" s="200"/>
      <c r="Z359" s="60"/>
      <c r="AA359" s="60"/>
      <c r="AB359" s="60"/>
      <c r="AC359" s="60"/>
      <c r="AD359" s="60"/>
      <c r="AE359" s="60"/>
      <c r="AF359" s="60"/>
      <c r="AG359" s="60"/>
      <c r="AH359" s="60"/>
      <c r="AI359" s="60"/>
      <c r="AJ359" s="60"/>
      <c r="AR359" s="60"/>
      <c r="AS359" s="60"/>
      <c r="AT359" s="60"/>
      <c r="AU359" s="60"/>
      <c r="AV359" s="60"/>
      <c r="AW359" s="60"/>
      <c r="AX359" s="60"/>
      <c r="AY359" s="60"/>
    </row>
    <row r="360" spans="2:51" s="59" customFormat="1" ht="15" customHeight="1">
      <c r="B360" s="184"/>
      <c r="D360" s="186"/>
      <c r="E360" s="197"/>
      <c r="F360" s="207"/>
      <c r="G360" s="198"/>
      <c r="H360" s="199"/>
      <c r="I360" s="199"/>
      <c r="J360" s="187"/>
      <c r="K360" s="200"/>
      <c r="L360" s="363"/>
      <c r="M360" s="369"/>
      <c r="N360" s="364"/>
      <c r="O360" s="725"/>
      <c r="P360" s="725"/>
      <c r="Q360" s="725"/>
      <c r="R360" s="201"/>
      <c r="S360" s="202"/>
      <c r="T360" s="187"/>
      <c r="U360" s="200"/>
      <c r="Z360" s="60"/>
      <c r="AA360" s="60"/>
      <c r="AB360" s="60"/>
      <c r="AC360" s="60"/>
      <c r="AD360" s="60"/>
      <c r="AE360" s="60"/>
      <c r="AF360" s="60"/>
      <c r="AG360" s="60"/>
      <c r="AH360" s="60"/>
      <c r="AI360" s="60"/>
      <c r="AJ360" s="60"/>
      <c r="AR360" s="60"/>
      <c r="AS360" s="60"/>
      <c r="AT360" s="60"/>
      <c r="AU360" s="60"/>
      <c r="AV360" s="60"/>
      <c r="AW360" s="60"/>
      <c r="AX360" s="60"/>
      <c r="AY360" s="60"/>
    </row>
    <row r="361" spans="2:51" s="59" customFormat="1" ht="15" customHeight="1">
      <c r="B361" s="184"/>
      <c r="D361" s="186"/>
      <c r="E361" s="197"/>
      <c r="F361" s="207"/>
      <c r="G361" s="198"/>
      <c r="H361" s="199"/>
      <c r="I361" s="199"/>
      <c r="J361" s="187"/>
      <c r="K361" s="200"/>
      <c r="L361" s="363"/>
      <c r="M361" s="369"/>
      <c r="N361" s="364"/>
      <c r="O361" s="725"/>
      <c r="P361" s="725"/>
      <c r="Q361" s="725"/>
      <c r="R361" s="201"/>
      <c r="S361" s="202"/>
      <c r="T361" s="187"/>
      <c r="U361" s="200"/>
      <c r="Z361" s="60"/>
      <c r="AA361" s="60"/>
      <c r="AB361" s="60"/>
      <c r="AC361" s="60"/>
      <c r="AD361" s="60"/>
      <c r="AE361" s="60"/>
      <c r="AF361" s="60"/>
      <c r="AG361" s="60"/>
      <c r="AH361" s="60"/>
      <c r="AI361" s="60"/>
      <c r="AJ361" s="60"/>
      <c r="AR361" s="60"/>
      <c r="AS361" s="60"/>
      <c r="AT361" s="60"/>
      <c r="AU361" s="60"/>
      <c r="AV361" s="60"/>
      <c r="AW361" s="60"/>
      <c r="AX361" s="60"/>
      <c r="AY361" s="60"/>
    </row>
    <row r="362" spans="2:51" s="59" customFormat="1" ht="15" customHeight="1">
      <c r="B362" s="184"/>
      <c r="D362" s="186"/>
      <c r="E362" s="197"/>
      <c r="F362" s="207"/>
      <c r="G362" s="198"/>
      <c r="H362" s="199"/>
      <c r="I362" s="199"/>
      <c r="J362" s="187"/>
      <c r="K362" s="200"/>
      <c r="L362" s="363"/>
      <c r="M362" s="369"/>
      <c r="N362" s="364"/>
      <c r="O362" s="725"/>
      <c r="P362" s="725"/>
      <c r="Q362" s="725"/>
      <c r="R362" s="201"/>
      <c r="S362" s="202"/>
      <c r="T362" s="187"/>
      <c r="U362" s="200"/>
      <c r="Z362" s="60"/>
      <c r="AA362" s="60"/>
      <c r="AB362" s="60"/>
      <c r="AC362" s="60"/>
      <c r="AD362" s="60"/>
      <c r="AE362" s="60"/>
      <c r="AF362" s="60"/>
      <c r="AG362" s="60"/>
      <c r="AH362" s="60"/>
      <c r="AI362" s="60"/>
      <c r="AJ362" s="60"/>
      <c r="AR362" s="60"/>
      <c r="AS362" s="60"/>
      <c r="AT362" s="60"/>
      <c r="AU362" s="60"/>
      <c r="AV362" s="60"/>
      <c r="AW362" s="60"/>
      <c r="AX362" s="60"/>
      <c r="AY362" s="60"/>
    </row>
    <row r="363" spans="2:51" s="59" customFormat="1" ht="15" customHeight="1">
      <c r="B363" s="184"/>
      <c r="D363" s="186"/>
      <c r="E363" s="197"/>
      <c r="F363" s="207"/>
      <c r="G363" s="198"/>
      <c r="H363" s="199"/>
      <c r="I363" s="199"/>
      <c r="J363" s="187"/>
      <c r="K363" s="200"/>
      <c r="L363" s="363"/>
      <c r="M363" s="369"/>
      <c r="N363" s="364"/>
      <c r="O363" s="725"/>
      <c r="P363" s="725"/>
      <c r="Q363" s="725"/>
      <c r="R363" s="201"/>
      <c r="S363" s="202"/>
      <c r="T363" s="187"/>
      <c r="U363" s="200"/>
      <c r="Z363" s="60"/>
      <c r="AA363" s="60"/>
      <c r="AB363" s="60"/>
      <c r="AC363" s="60"/>
      <c r="AD363" s="60"/>
      <c r="AE363" s="60"/>
      <c r="AF363" s="60"/>
      <c r="AG363" s="60"/>
      <c r="AH363" s="60"/>
      <c r="AI363" s="60"/>
      <c r="AJ363" s="60"/>
      <c r="AR363" s="60"/>
      <c r="AS363" s="60"/>
      <c r="AT363" s="60"/>
      <c r="AU363" s="60"/>
      <c r="AV363" s="60"/>
      <c r="AW363" s="60"/>
      <c r="AX363" s="60"/>
      <c r="AY363" s="60"/>
    </row>
    <row r="364" spans="2:51" s="59" customFormat="1" ht="15" customHeight="1">
      <c r="B364" s="203"/>
      <c r="D364" s="186"/>
      <c r="E364" s="197"/>
      <c r="F364" s="207"/>
      <c r="G364" s="198"/>
      <c r="H364" s="199"/>
      <c r="I364" s="199"/>
      <c r="J364" s="187"/>
      <c r="K364" s="200"/>
      <c r="L364" s="363"/>
      <c r="M364" s="369"/>
      <c r="N364" s="364"/>
      <c r="O364" s="725"/>
      <c r="P364" s="725"/>
      <c r="Q364" s="725"/>
      <c r="R364" s="201"/>
      <c r="S364" s="202"/>
      <c r="T364" s="187"/>
      <c r="U364" s="200"/>
      <c r="Z364" s="60"/>
      <c r="AA364" s="60"/>
      <c r="AB364" s="60"/>
      <c r="AC364" s="60"/>
      <c r="AD364" s="60"/>
      <c r="AE364" s="60"/>
      <c r="AF364" s="60"/>
      <c r="AG364" s="60"/>
      <c r="AH364" s="60"/>
      <c r="AI364" s="60"/>
      <c r="AJ364" s="60"/>
      <c r="AR364" s="60"/>
      <c r="AS364" s="60"/>
      <c r="AT364" s="60"/>
      <c r="AU364" s="60"/>
      <c r="AV364" s="60"/>
      <c r="AW364" s="60"/>
      <c r="AX364" s="60"/>
      <c r="AY364" s="60"/>
    </row>
    <row r="365" spans="2:51" s="59" customFormat="1" ht="15" customHeight="1">
      <c r="B365" s="203"/>
      <c r="D365" s="186"/>
      <c r="E365" s="197"/>
      <c r="F365" s="207"/>
      <c r="G365" s="198"/>
      <c r="H365" s="199"/>
      <c r="I365" s="199"/>
      <c r="J365" s="187"/>
      <c r="K365" s="200"/>
      <c r="L365" s="363"/>
      <c r="M365" s="369"/>
      <c r="N365" s="364"/>
      <c r="O365" s="725"/>
      <c r="P365" s="725"/>
      <c r="Q365" s="725"/>
      <c r="R365" s="201"/>
      <c r="S365" s="202"/>
      <c r="T365" s="187"/>
      <c r="U365" s="200"/>
      <c r="Z365" s="60"/>
      <c r="AA365" s="60"/>
      <c r="AB365" s="60"/>
      <c r="AC365" s="60"/>
      <c r="AD365" s="60"/>
      <c r="AE365" s="60"/>
      <c r="AF365" s="60"/>
      <c r="AG365" s="60"/>
      <c r="AH365" s="60"/>
      <c r="AI365" s="60"/>
      <c r="AJ365" s="60"/>
      <c r="AR365" s="60"/>
      <c r="AS365" s="60"/>
      <c r="AT365" s="60"/>
      <c r="AU365" s="60"/>
      <c r="AV365" s="60"/>
      <c r="AW365" s="60"/>
      <c r="AX365" s="60"/>
      <c r="AY365" s="60"/>
    </row>
    <row r="366" spans="2:51" s="59" customFormat="1" ht="15" customHeight="1">
      <c r="B366" s="203"/>
      <c r="D366" s="186"/>
      <c r="E366" s="197"/>
      <c r="F366" s="207"/>
      <c r="G366" s="198"/>
      <c r="H366" s="199"/>
      <c r="I366" s="199"/>
      <c r="J366" s="187"/>
      <c r="K366" s="200"/>
      <c r="L366" s="363"/>
      <c r="M366" s="369"/>
      <c r="N366" s="364"/>
      <c r="O366" s="725"/>
      <c r="P366" s="725"/>
      <c r="Q366" s="725"/>
      <c r="R366" s="201"/>
      <c r="S366" s="202"/>
      <c r="T366" s="187"/>
      <c r="U366" s="200"/>
      <c r="Z366" s="60"/>
      <c r="AA366" s="60"/>
      <c r="AB366" s="60"/>
      <c r="AC366" s="60"/>
      <c r="AD366" s="60"/>
      <c r="AE366" s="60"/>
      <c r="AF366" s="60"/>
      <c r="AG366" s="60"/>
      <c r="AH366" s="60"/>
      <c r="AI366" s="60"/>
      <c r="AJ366" s="60"/>
      <c r="AR366" s="60"/>
      <c r="AS366" s="60"/>
      <c r="AT366" s="60"/>
      <c r="AU366" s="60"/>
      <c r="AV366" s="60"/>
      <c r="AW366" s="60"/>
      <c r="AX366" s="60"/>
      <c r="AY366" s="60"/>
    </row>
    <row r="367" spans="2:51" s="59" customFormat="1" ht="15" customHeight="1">
      <c r="B367" s="203"/>
      <c r="D367" s="186"/>
      <c r="E367" s="197"/>
      <c r="F367" s="207"/>
      <c r="G367" s="198"/>
      <c r="H367" s="199"/>
      <c r="I367" s="199"/>
      <c r="J367" s="187"/>
      <c r="K367" s="200"/>
      <c r="L367" s="363"/>
      <c r="M367" s="369"/>
      <c r="N367" s="364"/>
      <c r="O367" s="725"/>
      <c r="P367" s="725"/>
      <c r="Q367" s="725"/>
      <c r="R367" s="201"/>
      <c r="S367" s="202"/>
      <c r="T367" s="187"/>
      <c r="U367" s="200"/>
      <c r="Z367" s="60"/>
      <c r="AA367" s="60"/>
      <c r="AB367" s="60"/>
      <c r="AC367" s="60"/>
      <c r="AD367" s="60"/>
      <c r="AE367" s="60"/>
      <c r="AF367" s="60"/>
      <c r="AG367" s="60"/>
      <c r="AH367" s="60"/>
      <c r="AI367" s="60"/>
      <c r="AJ367" s="60"/>
      <c r="AR367" s="60"/>
      <c r="AS367" s="60"/>
      <c r="AT367" s="60"/>
      <c r="AU367" s="60"/>
      <c r="AV367" s="60"/>
      <c r="AW367" s="60"/>
      <c r="AX367" s="60"/>
      <c r="AY367" s="60"/>
    </row>
    <row r="368" spans="2:51" s="59" customFormat="1" ht="15" customHeight="1">
      <c r="B368" s="203"/>
      <c r="D368" s="186"/>
      <c r="E368" s="197"/>
      <c r="F368" s="207"/>
      <c r="G368" s="198"/>
      <c r="H368" s="199"/>
      <c r="I368" s="199"/>
      <c r="J368" s="187"/>
      <c r="K368" s="200"/>
      <c r="L368" s="363"/>
      <c r="M368" s="369"/>
      <c r="N368" s="364"/>
      <c r="O368" s="725"/>
      <c r="P368" s="725"/>
      <c r="Q368" s="725"/>
      <c r="R368" s="201"/>
      <c r="S368" s="202"/>
      <c r="T368" s="187"/>
      <c r="U368" s="200"/>
      <c r="Z368" s="60"/>
      <c r="AA368" s="60"/>
      <c r="AB368" s="60"/>
      <c r="AC368" s="60"/>
      <c r="AD368" s="60"/>
      <c r="AE368" s="60"/>
      <c r="AF368" s="60"/>
      <c r="AG368" s="60"/>
      <c r="AH368" s="60"/>
      <c r="AI368" s="60"/>
      <c r="AJ368" s="60"/>
      <c r="AR368" s="60"/>
      <c r="AS368" s="60"/>
      <c r="AT368" s="60"/>
      <c r="AU368" s="60"/>
      <c r="AV368" s="60"/>
      <c r="AW368" s="60"/>
      <c r="AX368" s="60"/>
      <c r="AY368" s="60"/>
    </row>
    <row r="369" spans="2:51" s="59" customFormat="1" ht="15" customHeight="1">
      <c r="B369" s="203"/>
      <c r="D369" s="186"/>
      <c r="E369" s="197"/>
      <c r="F369" s="207"/>
      <c r="G369" s="198"/>
      <c r="H369" s="199"/>
      <c r="I369" s="199"/>
      <c r="J369" s="187"/>
      <c r="K369" s="200"/>
      <c r="L369" s="363"/>
      <c r="M369" s="369"/>
      <c r="N369" s="364"/>
      <c r="O369" s="725"/>
      <c r="P369" s="725"/>
      <c r="Q369" s="725"/>
      <c r="R369" s="201"/>
      <c r="S369" s="202"/>
      <c r="T369" s="187"/>
      <c r="U369" s="200"/>
      <c r="Z369" s="60"/>
      <c r="AA369" s="60"/>
      <c r="AB369" s="60"/>
      <c r="AC369" s="60"/>
      <c r="AD369" s="60"/>
      <c r="AE369" s="60"/>
      <c r="AF369" s="60"/>
      <c r="AG369" s="60"/>
      <c r="AH369" s="60"/>
      <c r="AI369" s="60"/>
      <c r="AJ369" s="60"/>
      <c r="AR369" s="60"/>
      <c r="AS369" s="60"/>
      <c r="AT369" s="60"/>
      <c r="AU369" s="60"/>
      <c r="AV369" s="60"/>
      <c r="AW369" s="60"/>
      <c r="AX369" s="60"/>
      <c r="AY369" s="60"/>
    </row>
    <row r="370" spans="2:51" s="59" customFormat="1" ht="15" customHeight="1">
      <c r="B370" s="203"/>
      <c r="D370" s="186"/>
      <c r="E370" s="197"/>
      <c r="F370" s="207"/>
      <c r="G370" s="198"/>
      <c r="H370" s="199"/>
      <c r="I370" s="199"/>
      <c r="J370" s="187"/>
      <c r="K370" s="200"/>
      <c r="L370" s="363"/>
      <c r="M370" s="369"/>
      <c r="N370" s="364"/>
      <c r="O370" s="725"/>
      <c r="P370" s="725"/>
      <c r="Q370" s="725"/>
      <c r="R370" s="201"/>
      <c r="S370" s="202"/>
      <c r="T370" s="187"/>
      <c r="U370" s="200"/>
      <c r="Z370" s="60"/>
      <c r="AA370" s="60"/>
      <c r="AB370" s="60"/>
      <c r="AC370" s="60"/>
      <c r="AD370" s="60"/>
      <c r="AE370" s="60"/>
      <c r="AF370" s="60"/>
      <c r="AG370" s="60"/>
      <c r="AH370" s="60"/>
      <c r="AI370" s="60"/>
      <c r="AJ370" s="60"/>
      <c r="AR370" s="60"/>
      <c r="AS370" s="60"/>
      <c r="AT370" s="60"/>
      <c r="AU370" s="60"/>
      <c r="AV370" s="60"/>
      <c r="AW370" s="60"/>
      <c r="AX370" s="60"/>
      <c r="AY370" s="60"/>
    </row>
    <row r="371" spans="2:51" s="59" customFormat="1" ht="15" customHeight="1">
      <c r="B371" s="203"/>
      <c r="D371" s="186"/>
      <c r="E371" s="197"/>
      <c r="F371" s="207"/>
      <c r="G371" s="198"/>
      <c r="H371" s="199"/>
      <c r="I371" s="199"/>
      <c r="J371" s="187"/>
      <c r="K371" s="200"/>
      <c r="L371" s="363"/>
      <c r="M371" s="369"/>
      <c r="N371" s="364"/>
      <c r="O371" s="725"/>
      <c r="P371" s="725"/>
      <c r="Q371" s="725"/>
      <c r="R371" s="201"/>
      <c r="S371" s="202"/>
      <c r="T371" s="187"/>
      <c r="U371" s="200"/>
      <c r="Z371" s="60"/>
      <c r="AA371" s="60"/>
      <c r="AB371" s="60"/>
      <c r="AC371" s="60"/>
      <c r="AD371" s="60"/>
      <c r="AE371" s="60"/>
      <c r="AF371" s="60"/>
      <c r="AG371" s="60"/>
      <c r="AH371" s="60"/>
      <c r="AI371" s="60"/>
      <c r="AJ371" s="60"/>
      <c r="AR371" s="60"/>
      <c r="AS371" s="60"/>
      <c r="AT371" s="60"/>
      <c r="AU371" s="60"/>
      <c r="AV371" s="60"/>
      <c r="AW371" s="60"/>
      <c r="AX371" s="60"/>
      <c r="AY371" s="60"/>
    </row>
    <row r="372" spans="2:51" s="59" customFormat="1" ht="15" customHeight="1">
      <c r="B372" s="203"/>
      <c r="D372" s="186"/>
      <c r="E372" s="197"/>
      <c r="F372" s="207"/>
      <c r="G372" s="198"/>
      <c r="H372" s="199"/>
      <c r="I372" s="199"/>
      <c r="J372" s="187"/>
      <c r="K372" s="200"/>
      <c r="L372" s="363"/>
      <c r="M372" s="369"/>
      <c r="N372" s="364"/>
      <c r="O372" s="725"/>
      <c r="P372" s="725"/>
      <c r="Q372" s="725"/>
      <c r="R372" s="201"/>
      <c r="S372" s="202"/>
      <c r="T372" s="187"/>
      <c r="U372" s="200"/>
      <c r="Z372" s="60"/>
      <c r="AA372" s="60"/>
      <c r="AB372" s="60"/>
      <c r="AC372" s="60"/>
      <c r="AD372" s="60"/>
      <c r="AE372" s="60"/>
      <c r="AF372" s="60"/>
      <c r="AG372" s="60"/>
      <c r="AH372" s="60"/>
      <c r="AI372" s="60"/>
      <c r="AJ372" s="60"/>
      <c r="AR372" s="60"/>
      <c r="AS372" s="60"/>
      <c r="AT372" s="60"/>
      <c r="AU372" s="60"/>
      <c r="AV372" s="60"/>
      <c r="AW372" s="60"/>
      <c r="AX372" s="60"/>
      <c r="AY372" s="60"/>
    </row>
    <row r="373" spans="2:51" s="59" customFormat="1" ht="15" customHeight="1">
      <c r="B373" s="203"/>
      <c r="D373" s="186"/>
      <c r="E373" s="197"/>
      <c r="F373" s="207"/>
      <c r="G373" s="198"/>
      <c r="H373" s="199"/>
      <c r="I373" s="199"/>
      <c r="J373" s="187"/>
      <c r="K373" s="200"/>
      <c r="L373" s="363"/>
      <c r="M373" s="369"/>
      <c r="N373" s="364"/>
      <c r="O373" s="725"/>
      <c r="P373" s="725"/>
      <c r="Q373" s="725"/>
      <c r="R373" s="201"/>
      <c r="S373" s="202"/>
      <c r="T373" s="187"/>
      <c r="U373" s="200"/>
      <c r="Z373" s="60"/>
      <c r="AA373" s="60"/>
      <c r="AB373" s="60"/>
      <c r="AC373" s="60"/>
      <c r="AD373" s="60"/>
      <c r="AE373" s="60"/>
      <c r="AF373" s="60"/>
      <c r="AG373" s="60"/>
      <c r="AH373" s="60"/>
      <c r="AI373" s="60"/>
      <c r="AJ373" s="60"/>
      <c r="AR373" s="60"/>
      <c r="AS373" s="60"/>
      <c r="AT373" s="60"/>
      <c r="AU373" s="60"/>
      <c r="AV373" s="60"/>
      <c r="AW373" s="60"/>
      <c r="AX373" s="60"/>
      <c r="AY373" s="60"/>
    </row>
    <row r="374" spans="2:51" s="59" customFormat="1" ht="15" customHeight="1">
      <c r="B374" s="203"/>
      <c r="D374" s="186"/>
      <c r="E374" s="197"/>
      <c r="F374" s="207"/>
      <c r="G374" s="198"/>
      <c r="H374" s="199"/>
      <c r="I374" s="199"/>
      <c r="J374" s="187"/>
      <c r="K374" s="200"/>
      <c r="L374" s="363"/>
      <c r="M374" s="369"/>
      <c r="N374" s="364"/>
      <c r="O374" s="725"/>
      <c r="P374" s="725"/>
      <c r="Q374" s="725"/>
      <c r="R374" s="201"/>
      <c r="S374" s="202"/>
      <c r="T374" s="187"/>
      <c r="U374" s="200"/>
      <c r="Z374" s="60"/>
      <c r="AA374" s="60"/>
      <c r="AB374" s="60"/>
      <c r="AC374" s="60"/>
      <c r="AD374" s="60"/>
      <c r="AE374" s="60"/>
      <c r="AF374" s="60"/>
      <c r="AG374" s="60"/>
      <c r="AH374" s="60"/>
      <c r="AI374" s="60"/>
      <c r="AJ374" s="60"/>
      <c r="AR374" s="60"/>
      <c r="AS374" s="60"/>
      <c r="AT374" s="60"/>
      <c r="AU374" s="60"/>
      <c r="AV374" s="60"/>
      <c r="AW374" s="60"/>
      <c r="AX374" s="60"/>
      <c r="AY374" s="60"/>
    </row>
    <row r="375" spans="2:51" s="59" customFormat="1" ht="15" customHeight="1">
      <c r="B375" s="203"/>
      <c r="D375" s="186"/>
      <c r="E375" s="197"/>
      <c r="F375" s="207"/>
      <c r="G375" s="198"/>
      <c r="H375" s="199"/>
      <c r="I375" s="199"/>
      <c r="J375" s="187"/>
      <c r="K375" s="200"/>
      <c r="L375" s="363"/>
      <c r="M375" s="369"/>
      <c r="N375" s="364"/>
      <c r="O375" s="725"/>
      <c r="P375" s="725"/>
      <c r="Q375" s="725"/>
      <c r="R375" s="201"/>
      <c r="S375" s="202"/>
      <c r="T375" s="187"/>
      <c r="U375" s="200"/>
      <c r="Z375" s="60"/>
      <c r="AA375" s="60"/>
      <c r="AB375" s="60"/>
      <c r="AC375" s="60"/>
      <c r="AD375" s="60"/>
      <c r="AE375" s="60"/>
      <c r="AF375" s="60"/>
      <c r="AG375" s="60"/>
      <c r="AH375" s="60"/>
      <c r="AI375" s="60"/>
      <c r="AJ375" s="60"/>
      <c r="AR375" s="60"/>
      <c r="AS375" s="60"/>
      <c r="AT375" s="60"/>
      <c r="AU375" s="60"/>
      <c r="AV375" s="60"/>
      <c r="AW375" s="60"/>
      <c r="AX375" s="60"/>
      <c r="AY375" s="60"/>
    </row>
    <row r="376" spans="2:51" s="59" customFormat="1" ht="15" customHeight="1">
      <c r="B376" s="203"/>
      <c r="D376" s="186"/>
      <c r="E376" s="197"/>
      <c r="F376" s="207"/>
      <c r="G376" s="198"/>
      <c r="H376" s="199"/>
      <c r="I376" s="199"/>
      <c r="J376" s="187"/>
      <c r="K376" s="200"/>
      <c r="L376" s="363"/>
      <c r="M376" s="369"/>
      <c r="N376" s="364"/>
      <c r="O376" s="725"/>
      <c r="P376" s="725"/>
      <c r="Q376" s="725"/>
      <c r="R376" s="201"/>
      <c r="S376" s="202"/>
      <c r="T376" s="187"/>
      <c r="U376" s="200"/>
      <c r="Z376" s="60"/>
      <c r="AA376" s="60"/>
      <c r="AB376" s="60"/>
      <c r="AC376" s="60"/>
      <c r="AD376" s="60"/>
      <c r="AE376" s="60"/>
      <c r="AF376" s="60"/>
      <c r="AG376" s="60"/>
      <c r="AH376" s="60"/>
      <c r="AI376" s="60"/>
      <c r="AJ376" s="60"/>
      <c r="AR376" s="60"/>
      <c r="AS376" s="60"/>
      <c r="AT376" s="60"/>
      <c r="AU376" s="60"/>
      <c r="AV376" s="60"/>
      <c r="AW376" s="60"/>
      <c r="AX376" s="60"/>
      <c r="AY376" s="60"/>
    </row>
    <row r="377" spans="2:51" s="59" customFormat="1" ht="15" customHeight="1">
      <c r="B377" s="203"/>
      <c r="D377" s="186"/>
      <c r="E377" s="197"/>
      <c r="F377" s="207"/>
      <c r="G377" s="198"/>
      <c r="H377" s="199"/>
      <c r="I377" s="199"/>
      <c r="J377" s="187"/>
      <c r="K377" s="200"/>
      <c r="L377" s="363"/>
      <c r="M377" s="369"/>
      <c r="N377" s="364"/>
      <c r="O377" s="725"/>
      <c r="P377" s="725"/>
      <c r="Q377" s="725"/>
      <c r="R377" s="201"/>
      <c r="S377" s="202"/>
      <c r="T377" s="187"/>
      <c r="U377" s="200"/>
      <c r="Z377" s="60"/>
      <c r="AA377" s="60"/>
      <c r="AB377" s="60"/>
      <c r="AC377" s="60"/>
      <c r="AD377" s="60"/>
      <c r="AE377" s="60"/>
      <c r="AF377" s="60"/>
      <c r="AG377" s="60"/>
      <c r="AH377" s="60"/>
      <c r="AI377" s="60"/>
      <c r="AJ377" s="60"/>
      <c r="AR377" s="60"/>
      <c r="AS377" s="60"/>
      <c r="AT377" s="60"/>
      <c r="AU377" s="60"/>
      <c r="AV377" s="60"/>
      <c r="AW377" s="60"/>
      <c r="AX377" s="60"/>
      <c r="AY377" s="60"/>
    </row>
    <row r="378" spans="2:51" s="59" customFormat="1" ht="15" customHeight="1">
      <c r="B378" s="203"/>
      <c r="D378" s="186"/>
      <c r="E378" s="197"/>
      <c r="F378" s="207"/>
      <c r="G378" s="198"/>
      <c r="H378" s="199"/>
      <c r="I378" s="199"/>
      <c r="J378" s="187"/>
      <c r="K378" s="200"/>
      <c r="L378" s="363"/>
      <c r="M378" s="369"/>
      <c r="N378" s="364"/>
      <c r="O378" s="725"/>
      <c r="P378" s="725"/>
      <c r="Q378" s="725"/>
      <c r="R378" s="201"/>
      <c r="S378" s="202"/>
      <c r="T378" s="187"/>
      <c r="U378" s="200"/>
      <c r="Z378" s="60"/>
      <c r="AA378" s="60"/>
      <c r="AB378" s="60"/>
      <c r="AC378" s="60"/>
      <c r="AD378" s="60"/>
      <c r="AE378" s="60"/>
      <c r="AF378" s="60"/>
      <c r="AG378" s="60"/>
      <c r="AH378" s="60"/>
      <c r="AI378" s="60"/>
      <c r="AJ378" s="60"/>
      <c r="AR378" s="60"/>
      <c r="AS378" s="60"/>
      <c r="AT378" s="60"/>
      <c r="AU378" s="60"/>
      <c r="AV378" s="60"/>
      <c r="AW378" s="60"/>
      <c r="AX378" s="60"/>
      <c r="AY378" s="60"/>
    </row>
    <row r="379" spans="2:51" s="59" customFormat="1" ht="15" customHeight="1">
      <c r="B379" s="203"/>
      <c r="D379" s="186"/>
      <c r="E379" s="197"/>
      <c r="F379" s="207"/>
      <c r="G379" s="198"/>
      <c r="H379" s="199"/>
      <c r="I379" s="199"/>
      <c r="J379" s="187"/>
      <c r="K379" s="200"/>
      <c r="L379" s="363"/>
      <c r="M379" s="369"/>
      <c r="N379" s="364"/>
      <c r="O379" s="725"/>
      <c r="P379" s="725"/>
      <c r="Q379" s="725"/>
      <c r="R379" s="201"/>
      <c r="S379" s="202"/>
      <c r="T379" s="187"/>
      <c r="U379" s="200"/>
      <c r="Z379" s="60"/>
      <c r="AA379" s="60"/>
      <c r="AB379" s="60"/>
      <c r="AC379" s="60"/>
      <c r="AD379" s="60"/>
      <c r="AE379" s="60"/>
      <c r="AF379" s="60"/>
      <c r="AG379" s="60"/>
      <c r="AH379" s="60"/>
      <c r="AI379" s="60"/>
      <c r="AJ379" s="60"/>
      <c r="AR379" s="60"/>
      <c r="AS379" s="60"/>
      <c r="AT379" s="60"/>
      <c r="AU379" s="60"/>
      <c r="AV379" s="60"/>
      <c r="AW379" s="60"/>
      <c r="AX379" s="60"/>
      <c r="AY379" s="60"/>
    </row>
    <row r="380" spans="2:51" s="183" customFormat="1" ht="15" customHeight="1">
      <c r="B380" s="203"/>
      <c r="C380" s="59"/>
      <c r="D380" s="186"/>
      <c r="E380" s="197"/>
      <c r="F380" s="207"/>
      <c r="G380" s="198"/>
      <c r="H380" s="199"/>
      <c r="I380" s="199"/>
      <c r="J380" s="187"/>
      <c r="K380" s="200"/>
      <c r="L380" s="363"/>
      <c r="M380" s="369"/>
      <c r="N380" s="364"/>
      <c r="O380" s="725"/>
      <c r="P380" s="725"/>
      <c r="Q380" s="725"/>
      <c r="R380" s="201"/>
      <c r="S380" s="202"/>
      <c r="T380" s="187"/>
      <c r="U380" s="200"/>
      <c r="V380" s="59"/>
      <c r="Z380" s="108"/>
      <c r="AA380" s="60"/>
      <c r="AB380" s="60"/>
      <c r="AC380" s="60"/>
      <c r="AD380" s="60"/>
      <c r="AE380" s="60"/>
      <c r="AF380" s="60"/>
      <c r="AG380" s="60"/>
      <c r="AH380" s="60"/>
      <c r="AI380" s="108"/>
      <c r="AJ380" s="108"/>
      <c r="AK380" s="204"/>
      <c r="AL380" s="204"/>
      <c r="AM380" s="204"/>
      <c r="AN380" s="204"/>
      <c r="AO380" s="204"/>
      <c r="AP380" s="204"/>
      <c r="AR380" s="108"/>
      <c r="AS380" s="108"/>
      <c r="AT380" s="108"/>
      <c r="AU380" s="108"/>
      <c r="AV380" s="108"/>
      <c r="AW380" s="108"/>
      <c r="AX380" s="108"/>
      <c r="AY380" s="108"/>
    </row>
    <row r="381" spans="2:51" s="59" customFormat="1" ht="15" customHeight="1">
      <c r="B381" s="203"/>
      <c r="D381" s="186"/>
      <c r="E381" s="197"/>
      <c r="F381" s="207"/>
      <c r="G381" s="198"/>
      <c r="H381" s="199"/>
      <c r="I381" s="199"/>
      <c r="J381" s="187"/>
      <c r="K381" s="200"/>
      <c r="L381" s="363"/>
      <c r="M381" s="369"/>
      <c r="N381" s="364"/>
      <c r="O381" s="725"/>
      <c r="P381" s="725"/>
      <c r="Q381" s="725"/>
      <c r="R381" s="201"/>
      <c r="S381" s="202"/>
      <c r="T381" s="187"/>
      <c r="U381" s="200"/>
      <c r="Z381" s="60"/>
      <c r="AA381" s="60"/>
      <c r="AB381" s="60"/>
      <c r="AC381" s="60"/>
      <c r="AD381" s="60"/>
      <c r="AE381" s="60"/>
      <c r="AF381" s="60"/>
      <c r="AG381" s="60"/>
      <c r="AH381" s="60"/>
      <c r="AI381" s="60"/>
      <c r="AJ381" s="60"/>
      <c r="AR381" s="60"/>
      <c r="AS381" s="60"/>
      <c r="AT381" s="60"/>
      <c r="AU381" s="60"/>
      <c r="AV381" s="60"/>
      <c r="AW381" s="60"/>
      <c r="AX381" s="60"/>
      <c r="AY381" s="60"/>
    </row>
    <row r="382" spans="2:51" s="59" customFormat="1" ht="15" customHeight="1">
      <c r="B382" s="203"/>
      <c r="D382" s="186"/>
      <c r="E382" s="197"/>
      <c r="F382" s="207"/>
      <c r="G382" s="198"/>
      <c r="H382" s="199"/>
      <c r="I382" s="199"/>
      <c r="J382" s="187"/>
      <c r="K382" s="200"/>
      <c r="L382" s="363"/>
      <c r="M382" s="369"/>
      <c r="N382" s="364"/>
      <c r="O382" s="725"/>
      <c r="P382" s="725"/>
      <c r="Q382" s="725"/>
      <c r="R382" s="201"/>
      <c r="S382" s="202"/>
      <c r="T382" s="187"/>
      <c r="U382" s="200"/>
      <c r="Z382" s="60"/>
      <c r="AA382" s="60"/>
      <c r="AB382" s="60"/>
      <c r="AC382" s="60"/>
      <c r="AD382" s="60"/>
      <c r="AE382" s="60"/>
      <c r="AF382" s="60"/>
      <c r="AG382" s="60"/>
      <c r="AH382" s="60"/>
      <c r="AI382" s="60"/>
      <c r="AJ382" s="60"/>
      <c r="AR382" s="60"/>
      <c r="AS382" s="60"/>
      <c r="AT382" s="60"/>
      <c r="AU382" s="60"/>
      <c r="AV382" s="60"/>
      <c r="AW382" s="60"/>
      <c r="AX382" s="60"/>
      <c r="AY382" s="60"/>
    </row>
    <row r="383" spans="2:51" s="59" customFormat="1" ht="15" customHeight="1">
      <c r="B383" s="203"/>
      <c r="D383" s="186"/>
      <c r="E383" s="201"/>
      <c r="F383" s="187"/>
      <c r="G383" s="187"/>
      <c r="H383" s="187"/>
      <c r="I383" s="187"/>
      <c r="J383" s="187"/>
      <c r="K383" s="188"/>
      <c r="L383" s="363"/>
      <c r="M383" s="364"/>
      <c r="N383" s="364"/>
      <c r="O383" s="365"/>
      <c r="P383" s="365"/>
      <c r="Q383" s="188"/>
      <c r="R383" s="201"/>
      <c r="S383" s="187"/>
      <c r="T383" s="187"/>
      <c r="U383" s="188"/>
      <c r="Z383" s="60"/>
      <c r="AA383" s="60"/>
      <c r="AB383" s="60"/>
      <c r="AC383" s="60"/>
      <c r="AD383" s="60"/>
      <c r="AE383" s="60"/>
      <c r="AF383" s="60"/>
      <c r="AG383" s="60"/>
      <c r="AH383" s="60"/>
      <c r="AI383" s="60"/>
      <c r="AJ383" s="60"/>
      <c r="AR383" s="60"/>
      <c r="AS383" s="60"/>
      <c r="AT383" s="60"/>
      <c r="AU383" s="60"/>
      <c r="AV383" s="60"/>
      <c r="AW383" s="60"/>
      <c r="AX383" s="60"/>
      <c r="AY383" s="60"/>
    </row>
    <row r="384" spans="2:51" s="59" customFormat="1" ht="15" customHeight="1">
      <c r="B384" s="203"/>
      <c r="D384" s="186"/>
      <c r="E384" s="201"/>
      <c r="F384" s="199"/>
      <c r="G384" s="199"/>
      <c r="H384" s="199"/>
      <c r="I384" s="199"/>
      <c r="J384" s="199"/>
      <c r="K384" s="188"/>
      <c r="L384" s="363"/>
      <c r="M384" s="366"/>
      <c r="N384" s="366"/>
      <c r="O384" s="365"/>
      <c r="P384" s="365"/>
      <c r="Q384" s="188"/>
      <c r="R384" s="201"/>
      <c r="S384" s="199"/>
      <c r="T384" s="199"/>
      <c r="U384" s="188"/>
      <c r="Z384" s="60"/>
      <c r="AA384" s="60"/>
      <c r="AB384" s="60"/>
      <c r="AC384" s="60"/>
      <c r="AD384" s="60"/>
      <c r="AE384" s="60"/>
      <c r="AF384" s="60"/>
      <c r="AG384" s="60"/>
      <c r="AH384" s="60"/>
      <c r="AI384" s="60"/>
      <c r="AJ384" s="60"/>
      <c r="AR384" s="60"/>
      <c r="AS384" s="60"/>
      <c r="AT384" s="60"/>
      <c r="AU384" s="60"/>
      <c r="AV384" s="60"/>
      <c r="AW384" s="60"/>
      <c r="AX384" s="60"/>
      <c r="AY384" s="60"/>
    </row>
    <row r="385" spans="2:51" s="59" customFormat="1" ht="15" customHeight="1">
      <c r="B385" s="203"/>
      <c r="D385" s="186"/>
      <c r="E385" s="201"/>
      <c r="F385" s="199"/>
      <c r="G385" s="199"/>
      <c r="H385" s="199"/>
      <c r="I385" s="199"/>
      <c r="J385" s="199"/>
      <c r="K385" s="188"/>
      <c r="L385" s="363"/>
      <c r="M385" s="366"/>
      <c r="N385" s="366"/>
      <c r="O385" s="365"/>
      <c r="P385" s="365"/>
      <c r="Q385" s="188"/>
      <c r="R385" s="201"/>
      <c r="S385" s="199"/>
      <c r="T385" s="199"/>
      <c r="U385" s="188"/>
      <c r="Z385" s="60"/>
      <c r="AA385" s="60"/>
      <c r="AB385" s="60"/>
      <c r="AC385" s="60"/>
      <c r="AD385" s="60"/>
      <c r="AE385" s="60"/>
      <c r="AF385" s="60"/>
      <c r="AG385" s="60"/>
      <c r="AH385" s="60"/>
      <c r="AI385" s="60"/>
      <c r="AJ385" s="60"/>
      <c r="AR385" s="60"/>
      <c r="AS385" s="60"/>
      <c r="AT385" s="60"/>
      <c r="AU385" s="60"/>
      <c r="AV385" s="60"/>
      <c r="AW385" s="60"/>
      <c r="AX385" s="60"/>
      <c r="AY385" s="60"/>
    </row>
    <row r="386" spans="2:51" s="59" customFormat="1" ht="15" customHeight="1">
      <c r="B386" s="203"/>
      <c r="D386" s="186"/>
      <c r="E386" s="201"/>
      <c r="F386" s="201"/>
      <c r="G386" s="201"/>
      <c r="H386" s="201"/>
      <c r="I386" s="201"/>
      <c r="J386" s="201"/>
      <c r="K386" s="188"/>
      <c r="L386" s="363"/>
      <c r="M386" s="363"/>
      <c r="N386" s="363"/>
      <c r="O386" s="365"/>
      <c r="P386" s="365"/>
      <c r="Q386" s="188"/>
      <c r="R386" s="201"/>
      <c r="S386" s="201"/>
      <c r="T386" s="201"/>
      <c r="U386" s="188"/>
      <c r="Z386" s="60"/>
      <c r="AA386" s="60"/>
      <c r="AB386" s="60"/>
      <c r="AC386" s="60"/>
      <c r="AD386" s="60"/>
      <c r="AE386" s="60"/>
      <c r="AF386" s="60"/>
      <c r="AG386" s="60"/>
      <c r="AH386" s="60"/>
      <c r="AI386" s="60"/>
      <c r="AJ386" s="60"/>
      <c r="AR386" s="60"/>
      <c r="AS386" s="60"/>
      <c r="AT386" s="60"/>
      <c r="AU386" s="60"/>
      <c r="AV386" s="60"/>
      <c r="AW386" s="60"/>
      <c r="AX386" s="60"/>
      <c r="AY386" s="60"/>
    </row>
    <row r="387" spans="2:51" s="59" customFormat="1" ht="15" customHeight="1">
      <c r="B387" s="194"/>
      <c r="C387" s="183"/>
      <c r="D387" s="726"/>
      <c r="E387" s="726"/>
      <c r="F387" s="726"/>
      <c r="G387" s="726"/>
      <c r="H387" s="189"/>
      <c r="I387" s="189"/>
      <c r="J387" s="189"/>
      <c r="K387" s="195"/>
      <c r="L387" s="367"/>
      <c r="M387" s="367"/>
      <c r="N387" s="367"/>
      <c r="O387" s="368"/>
      <c r="P387" s="368"/>
      <c r="Q387" s="195"/>
      <c r="R387" s="196"/>
      <c r="S387" s="196"/>
      <c r="T387" s="196"/>
      <c r="U387" s="195"/>
      <c r="V387" s="183"/>
      <c r="Z387" s="60"/>
      <c r="AA387" s="60"/>
      <c r="AB387" s="60"/>
      <c r="AC387" s="60"/>
      <c r="AD387" s="60"/>
      <c r="AE387" s="60"/>
      <c r="AF387" s="60"/>
      <c r="AG387" s="60"/>
      <c r="AH387" s="60"/>
      <c r="AI387" s="60"/>
      <c r="AJ387" s="60"/>
      <c r="AR387" s="60"/>
      <c r="AS387" s="60"/>
      <c r="AT387" s="60"/>
      <c r="AU387" s="60"/>
      <c r="AV387" s="60"/>
      <c r="AW387" s="60"/>
      <c r="AX387" s="60"/>
      <c r="AY387" s="60"/>
    </row>
    <row r="388" spans="2:51" s="59" customFormat="1" ht="15" customHeight="1">
      <c r="B388" s="184"/>
      <c r="C388" s="185"/>
      <c r="D388" s="186"/>
      <c r="E388" s="197"/>
      <c r="F388" s="207"/>
      <c r="G388" s="198"/>
      <c r="H388" s="199"/>
      <c r="I388" s="199"/>
      <c r="J388" s="187"/>
      <c r="K388" s="200"/>
      <c r="L388" s="363"/>
      <c r="M388" s="369"/>
      <c r="N388" s="364"/>
      <c r="O388" s="725"/>
      <c r="P388" s="725"/>
      <c r="Q388" s="725"/>
      <c r="R388" s="201"/>
      <c r="S388" s="202"/>
      <c r="T388" s="187"/>
      <c r="U388" s="200"/>
      <c r="Z388" s="60"/>
      <c r="AA388" s="60"/>
      <c r="AB388" s="60"/>
      <c r="AC388" s="60"/>
      <c r="AD388" s="60"/>
      <c r="AE388" s="60"/>
      <c r="AF388" s="60"/>
      <c r="AG388" s="60"/>
      <c r="AH388" s="60"/>
      <c r="AI388" s="60"/>
      <c r="AJ388" s="60"/>
      <c r="AR388" s="60"/>
      <c r="AS388" s="60"/>
      <c r="AT388" s="60"/>
      <c r="AU388" s="60"/>
      <c r="AV388" s="60"/>
      <c r="AW388" s="60"/>
      <c r="AX388" s="60"/>
      <c r="AY388" s="60"/>
    </row>
    <row r="389" spans="2:51" s="59" customFormat="1" ht="15" customHeight="1">
      <c r="B389" s="184"/>
      <c r="D389" s="186"/>
      <c r="E389" s="197"/>
      <c r="F389" s="207"/>
      <c r="G389" s="198"/>
      <c r="H389" s="199"/>
      <c r="I389" s="199"/>
      <c r="J389" s="187"/>
      <c r="K389" s="200"/>
      <c r="L389" s="363"/>
      <c r="M389" s="369"/>
      <c r="N389" s="364"/>
      <c r="O389" s="725"/>
      <c r="P389" s="725"/>
      <c r="Q389" s="725"/>
      <c r="R389" s="201"/>
      <c r="S389" s="202"/>
      <c r="T389" s="187"/>
      <c r="U389" s="200"/>
      <c r="Z389" s="60"/>
      <c r="AA389" s="60"/>
      <c r="AB389" s="60"/>
      <c r="AC389" s="60"/>
      <c r="AD389" s="60"/>
      <c r="AE389" s="60"/>
      <c r="AF389" s="60"/>
      <c r="AG389" s="60"/>
      <c r="AH389" s="60"/>
      <c r="AI389" s="60"/>
      <c r="AJ389" s="60"/>
      <c r="AR389" s="60"/>
      <c r="AS389" s="60"/>
      <c r="AT389" s="60"/>
      <c r="AU389" s="60"/>
      <c r="AV389" s="60"/>
      <c r="AW389" s="60"/>
      <c r="AX389" s="60"/>
      <c r="AY389" s="60"/>
    </row>
    <row r="390" spans="2:51" s="59" customFormat="1" ht="15" customHeight="1">
      <c r="B390" s="184"/>
      <c r="D390" s="186"/>
      <c r="E390" s="197"/>
      <c r="F390" s="207"/>
      <c r="G390" s="198"/>
      <c r="H390" s="199"/>
      <c r="I390" s="199"/>
      <c r="J390" s="187"/>
      <c r="K390" s="200"/>
      <c r="L390" s="363"/>
      <c r="M390" s="369"/>
      <c r="N390" s="364"/>
      <c r="O390" s="725"/>
      <c r="P390" s="725"/>
      <c r="Q390" s="725"/>
      <c r="R390" s="201"/>
      <c r="S390" s="202"/>
      <c r="T390" s="187"/>
      <c r="U390" s="200"/>
      <c r="Z390" s="60"/>
      <c r="AA390" s="60"/>
      <c r="AB390" s="60"/>
      <c r="AC390" s="60"/>
      <c r="AD390" s="60"/>
      <c r="AE390" s="60"/>
      <c r="AF390" s="60"/>
      <c r="AG390" s="60"/>
      <c r="AH390" s="60"/>
      <c r="AI390" s="60"/>
      <c r="AJ390" s="60"/>
      <c r="AR390" s="60"/>
      <c r="AS390" s="60"/>
      <c r="AT390" s="60"/>
      <c r="AU390" s="60"/>
      <c r="AV390" s="60"/>
      <c r="AW390" s="60"/>
      <c r="AX390" s="60"/>
      <c r="AY390" s="60"/>
    </row>
    <row r="391" spans="2:51" s="59" customFormat="1" ht="15" customHeight="1">
      <c r="B391" s="184"/>
      <c r="D391" s="186"/>
      <c r="E391" s="197"/>
      <c r="F391" s="207"/>
      <c r="G391" s="198"/>
      <c r="H391" s="199"/>
      <c r="I391" s="199"/>
      <c r="J391" s="187"/>
      <c r="K391" s="200"/>
      <c r="L391" s="363"/>
      <c r="M391" s="369"/>
      <c r="N391" s="364"/>
      <c r="O391" s="725"/>
      <c r="P391" s="725"/>
      <c r="Q391" s="725"/>
      <c r="R391" s="201"/>
      <c r="S391" s="202"/>
      <c r="T391" s="187"/>
      <c r="U391" s="200"/>
      <c r="Z391" s="60"/>
      <c r="AA391" s="60"/>
      <c r="AB391" s="60"/>
      <c r="AC391" s="60"/>
      <c r="AD391" s="60"/>
      <c r="AE391" s="60"/>
      <c r="AF391" s="60"/>
      <c r="AG391" s="60"/>
      <c r="AH391" s="60"/>
      <c r="AI391" s="60"/>
      <c r="AJ391" s="60"/>
      <c r="AR391" s="60"/>
      <c r="AS391" s="60"/>
      <c r="AT391" s="60"/>
      <c r="AU391" s="60"/>
      <c r="AV391" s="60"/>
      <c r="AW391" s="60"/>
      <c r="AX391" s="60"/>
      <c r="AY391" s="60"/>
    </row>
    <row r="392" spans="2:51" s="59" customFormat="1" ht="15" customHeight="1">
      <c r="B392" s="184"/>
      <c r="D392" s="186"/>
      <c r="E392" s="197"/>
      <c r="F392" s="207"/>
      <c r="G392" s="198"/>
      <c r="H392" s="199"/>
      <c r="I392" s="199"/>
      <c r="J392" s="187"/>
      <c r="K392" s="200"/>
      <c r="L392" s="363"/>
      <c r="M392" s="369"/>
      <c r="N392" s="364"/>
      <c r="O392" s="725"/>
      <c r="P392" s="725"/>
      <c r="Q392" s="725"/>
      <c r="R392" s="201"/>
      <c r="S392" s="202"/>
      <c r="T392" s="187"/>
      <c r="U392" s="200"/>
      <c r="Z392" s="60"/>
      <c r="AA392" s="60"/>
      <c r="AB392" s="60"/>
      <c r="AC392" s="60"/>
      <c r="AD392" s="60"/>
      <c r="AE392" s="60"/>
      <c r="AF392" s="60"/>
      <c r="AG392" s="60"/>
      <c r="AH392" s="60"/>
      <c r="AI392" s="60"/>
      <c r="AJ392" s="60"/>
      <c r="AR392" s="60"/>
      <c r="AS392" s="60"/>
      <c r="AT392" s="60"/>
      <c r="AU392" s="60"/>
      <c r="AV392" s="60"/>
      <c r="AW392" s="60"/>
      <c r="AX392" s="60"/>
      <c r="AY392" s="60"/>
    </row>
    <row r="393" spans="2:51" s="59" customFormat="1" ht="15" customHeight="1">
      <c r="B393" s="184"/>
      <c r="D393" s="186"/>
      <c r="E393" s="197"/>
      <c r="F393" s="207"/>
      <c r="G393" s="198"/>
      <c r="H393" s="199"/>
      <c r="I393" s="199"/>
      <c r="J393" s="187"/>
      <c r="K393" s="200"/>
      <c r="L393" s="363"/>
      <c r="M393" s="369"/>
      <c r="N393" s="364"/>
      <c r="O393" s="725"/>
      <c r="P393" s="725"/>
      <c r="Q393" s="725"/>
      <c r="R393" s="201"/>
      <c r="S393" s="202"/>
      <c r="T393" s="187"/>
      <c r="U393" s="200"/>
      <c r="Z393" s="60"/>
      <c r="AA393" s="60"/>
      <c r="AB393" s="60"/>
      <c r="AC393" s="60"/>
      <c r="AD393" s="60"/>
      <c r="AE393" s="60"/>
      <c r="AF393" s="60"/>
      <c r="AG393" s="60"/>
      <c r="AH393" s="60"/>
      <c r="AI393" s="60"/>
      <c r="AJ393" s="60"/>
      <c r="AR393" s="60"/>
      <c r="AS393" s="60"/>
      <c r="AT393" s="60"/>
      <c r="AU393" s="60"/>
      <c r="AV393" s="60"/>
      <c r="AW393" s="60"/>
      <c r="AX393" s="60"/>
      <c r="AY393" s="60"/>
    </row>
    <row r="394" spans="2:51" s="59" customFormat="1" ht="15" customHeight="1">
      <c r="B394" s="184"/>
      <c r="D394" s="186"/>
      <c r="E394" s="197"/>
      <c r="F394" s="207"/>
      <c r="G394" s="198"/>
      <c r="H394" s="199"/>
      <c r="I394" s="199"/>
      <c r="J394" s="187"/>
      <c r="K394" s="200"/>
      <c r="L394" s="363"/>
      <c r="M394" s="369"/>
      <c r="N394" s="364"/>
      <c r="O394" s="725"/>
      <c r="P394" s="725"/>
      <c r="Q394" s="725"/>
      <c r="R394" s="201"/>
      <c r="S394" s="202"/>
      <c r="T394" s="187"/>
      <c r="U394" s="200"/>
      <c r="Z394" s="60"/>
      <c r="AA394" s="60"/>
      <c r="AB394" s="60"/>
      <c r="AC394" s="60"/>
      <c r="AD394" s="60"/>
      <c r="AE394" s="60"/>
      <c r="AF394" s="60"/>
      <c r="AG394" s="60"/>
      <c r="AH394" s="60"/>
      <c r="AI394" s="60"/>
      <c r="AJ394" s="60"/>
      <c r="AR394" s="60"/>
      <c r="AS394" s="60"/>
      <c r="AT394" s="60"/>
      <c r="AU394" s="60"/>
      <c r="AV394" s="60"/>
      <c r="AW394" s="60"/>
      <c r="AX394" s="60"/>
      <c r="AY394" s="60"/>
    </row>
    <row r="395" spans="2:51" s="59" customFormat="1" ht="15" customHeight="1">
      <c r="B395" s="184"/>
      <c r="D395" s="186"/>
      <c r="E395" s="197"/>
      <c r="F395" s="207"/>
      <c r="G395" s="198"/>
      <c r="H395" s="199"/>
      <c r="I395" s="199"/>
      <c r="J395" s="187"/>
      <c r="K395" s="200"/>
      <c r="L395" s="363"/>
      <c r="M395" s="369"/>
      <c r="N395" s="364"/>
      <c r="O395" s="725"/>
      <c r="P395" s="725"/>
      <c r="Q395" s="725"/>
      <c r="R395" s="201"/>
      <c r="S395" s="202"/>
      <c r="T395" s="187"/>
      <c r="U395" s="200"/>
      <c r="Z395" s="60"/>
      <c r="AA395" s="60"/>
      <c r="AB395" s="60"/>
      <c r="AC395" s="60"/>
      <c r="AD395" s="60"/>
      <c r="AE395" s="60"/>
      <c r="AF395" s="60"/>
      <c r="AG395" s="60"/>
      <c r="AH395" s="60"/>
      <c r="AI395" s="60"/>
      <c r="AJ395" s="60"/>
      <c r="AR395" s="60"/>
      <c r="AS395" s="60"/>
      <c r="AT395" s="60"/>
      <c r="AU395" s="60"/>
      <c r="AV395" s="60"/>
      <c r="AW395" s="60"/>
      <c r="AX395" s="60"/>
      <c r="AY395" s="60"/>
    </row>
    <row r="396" spans="2:51" s="59" customFormat="1" ht="15" customHeight="1">
      <c r="B396" s="184"/>
      <c r="D396" s="186"/>
      <c r="E396" s="197"/>
      <c r="F396" s="207"/>
      <c r="G396" s="198"/>
      <c r="H396" s="199"/>
      <c r="I396" s="199"/>
      <c r="J396" s="187"/>
      <c r="K396" s="200"/>
      <c r="L396" s="363"/>
      <c r="M396" s="369"/>
      <c r="N396" s="364"/>
      <c r="O396" s="725"/>
      <c r="P396" s="725"/>
      <c r="Q396" s="725"/>
      <c r="R396" s="201"/>
      <c r="S396" s="202"/>
      <c r="T396" s="187"/>
      <c r="U396" s="200"/>
      <c r="Z396" s="60"/>
      <c r="AA396" s="60"/>
      <c r="AB396" s="60"/>
      <c r="AC396" s="60"/>
      <c r="AD396" s="60"/>
      <c r="AE396" s="60"/>
      <c r="AF396" s="60"/>
      <c r="AG396" s="60"/>
      <c r="AH396" s="60"/>
      <c r="AI396" s="60"/>
      <c r="AJ396" s="60"/>
      <c r="AR396" s="60"/>
      <c r="AS396" s="60"/>
      <c r="AT396" s="60"/>
      <c r="AU396" s="60"/>
      <c r="AV396" s="60"/>
      <c r="AW396" s="60"/>
      <c r="AX396" s="60"/>
      <c r="AY396" s="60"/>
    </row>
    <row r="397" spans="2:51" s="59" customFormat="1" ht="15" customHeight="1">
      <c r="B397" s="184"/>
      <c r="D397" s="186"/>
      <c r="E397" s="197"/>
      <c r="F397" s="207"/>
      <c r="G397" s="198"/>
      <c r="H397" s="199"/>
      <c r="I397" s="199"/>
      <c r="J397" s="187"/>
      <c r="K397" s="200"/>
      <c r="L397" s="363"/>
      <c r="M397" s="369"/>
      <c r="N397" s="364"/>
      <c r="O397" s="725"/>
      <c r="P397" s="725"/>
      <c r="Q397" s="725"/>
      <c r="R397" s="201"/>
      <c r="S397" s="202"/>
      <c r="T397" s="187"/>
      <c r="U397" s="200"/>
      <c r="Z397" s="60"/>
      <c r="AA397" s="60"/>
      <c r="AB397" s="60"/>
      <c r="AC397" s="60"/>
      <c r="AD397" s="60"/>
      <c r="AE397" s="60"/>
      <c r="AF397" s="60"/>
      <c r="AG397" s="60"/>
      <c r="AH397" s="60"/>
      <c r="AI397" s="60"/>
      <c r="AJ397" s="60"/>
      <c r="AR397" s="60"/>
      <c r="AS397" s="60"/>
      <c r="AT397" s="60"/>
      <c r="AU397" s="60"/>
      <c r="AV397" s="60"/>
      <c r="AW397" s="60"/>
      <c r="AX397" s="60"/>
      <c r="AY397" s="60"/>
    </row>
    <row r="398" spans="2:51" s="59" customFormat="1" ht="15" customHeight="1">
      <c r="B398" s="184"/>
      <c r="D398" s="186"/>
      <c r="E398" s="197"/>
      <c r="F398" s="207"/>
      <c r="G398" s="198"/>
      <c r="H398" s="199"/>
      <c r="I398" s="199"/>
      <c r="J398" s="187"/>
      <c r="K398" s="200"/>
      <c r="L398" s="363"/>
      <c r="M398" s="369"/>
      <c r="N398" s="364"/>
      <c r="O398" s="725"/>
      <c r="P398" s="725"/>
      <c r="Q398" s="725"/>
      <c r="R398" s="201"/>
      <c r="S398" s="202"/>
      <c r="T398" s="187"/>
      <c r="U398" s="200"/>
      <c r="Z398" s="60"/>
      <c r="AA398" s="60"/>
      <c r="AB398" s="60"/>
      <c r="AC398" s="60"/>
      <c r="AD398" s="60"/>
      <c r="AE398" s="60"/>
      <c r="AF398" s="60"/>
      <c r="AG398" s="60"/>
      <c r="AH398" s="60"/>
      <c r="AI398" s="60"/>
      <c r="AJ398" s="60"/>
      <c r="AR398" s="60"/>
      <c r="AS398" s="60"/>
      <c r="AT398" s="60"/>
      <c r="AU398" s="60"/>
      <c r="AV398" s="60"/>
      <c r="AW398" s="60"/>
      <c r="AX398" s="60"/>
      <c r="AY398" s="60"/>
    </row>
    <row r="399" spans="2:51" s="59" customFormat="1" ht="15" customHeight="1">
      <c r="B399" s="184"/>
      <c r="D399" s="186"/>
      <c r="E399" s="197"/>
      <c r="F399" s="207"/>
      <c r="G399" s="198"/>
      <c r="H399" s="199"/>
      <c r="I399" s="199"/>
      <c r="J399" s="187"/>
      <c r="K399" s="200"/>
      <c r="L399" s="363"/>
      <c r="M399" s="369"/>
      <c r="N399" s="364"/>
      <c r="O399" s="725"/>
      <c r="P399" s="725"/>
      <c r="Q399" s="725"/>
      <c r="R399" s="201"/>
      <c r="S399" s="202"/>
      <c r="T399" s="187"/>
      <c r="U399" s="200"/>
      <c r="Z399" s="60"/>
      <c r="AA399" s="60"/>
      <c r="AB399" s="60"/>
      <c r="AC399" s="60"/>
      <c r="AD399" s="60"/>
      <c r="AE399" s="60"/>
      <c r="AF399" s="60"/>
      <c r="AG399" s="60"/>
      <c r="AH399" s="60"/>
      <c r="AI399" s="60"/>
      <c r="AJ399" s="60"/>
      <c r="AR399" s="60"/>
      <c r="AS399" s="60"/>
      <c r="AT399" s="60"/>
      <c r="AU399" s="60"/>
      <c r="AV399" s="60"/>
      <c r="AW399" s="60"/>
      <c r="AX399" s="60"/>
      <c r="AY399" s="60"/>
    </row>
    <row r="400" spans="2:51" s="59" customFormat="1" ht="15" customHeight="1">
      <c r="B400" s="203"/>
      <c r="D400" s="186"/>
      <c r="E400" s="197"/>
      <c r="F400" s="207"/>
      <c r="G400" s="198"/>
      <c r="H400" s="199"/>
      <c r="I400" s="199"/>
      <c r="J400" s="187"/>
      <c r="K400" s="200"/>
      <c r="L400" s="363"/>
      <c r="M400" s="369"/>
      <c r="N400" s="364"/>
      <c r="O400" s="725"/>
      <c r="P400" s="725"/>
      <c r="Q400" s="725"/>
      <c r="R400" s="201"/>
      <c r="S400" s="202"/>
      <c r="T400" s="187"/>
      <c r="U400" s="200"/>
      <c r="Z400" s="60"/>
      <c r="AA400" s="60"/>
      <c r="AB400" s="60"/>
      <c r="AC400" s="60"/>
      <c r="AD400" s="60"/>
      <c r="AE400" s="60"/>
      <c r="AF400" s="60"/>
      <c r="AG400" s="60"/>
      <c r="AH400" s="60"/>
      <c r="AI400" s="60"/>
      <c r="AJ400" s="60"/>
      <c r="AR400" s="60"/>
      <c r="AS400" s="60"/>
      <c r="AT400" s="60"/>
      <c r="AU400" s="60"/>
      <c r="AV400" s="60"/>
      <c r="AW400" s="60"/>
      <c r="AX400" s="60"/>
      <c r="AY400" s="60"/>
    </row>
    <row r="401" spans="2:51" s="59" customFormat="1" ht="15" customHeight="1">
      <c r="B401" s="203"/>
      <c r="D401" s="186"/>
      <c r="E401" s="197"/>
      <c r="F401" s="207"/>
      <c r="G401" s="198"/>
      <c r="H401" s="199"/>
      <c r="I401" s="199"/>
      <c r="J401" s="187"/>
      <c r="K401" s="200"/>
      <c r="L401" s="363"/>
      <c r="M401" s="369"/>
      <c r="N401" s="364"/>
      <c r="O401" s="725"/>
      <c r="P401" s="725"/>
      <c r="Q401" s="725"/>
      <c r="R401" s="201"/>
      <c r="S401" s="202"/>
      <c r="T401" s="187"/>
      <c r="U401" s="200"/>
      <c r="Z401" s="60"/>
      <c r="AA401" s="60"/>
      <c r="AB401" s="60"/>
      <c r="AC401" s="60"/>
      <c r="AD401" s="60"/>
      <c r="AE401" s="60"/>
      <c r="AF401" s="60"/>
      <c r="AG401" s="60"/>
      <c r="AH401" s="60"/>
      <c r="AI401" s="60"/>
      <c r="AJ401" s="60"/>
      <c r="AR401" s="60"/>
      <c r="AS401" s="60"/>
      <c r="AT401" s="60"/>
      <c r="AU401" s="60"/>
      <c r="AV401" s="60"/>
      <c r="AW401" s="60"/>
      <c r="AX401" s="60"/>
      <c r="AY401" s="60"/>
    </row>
    <row r="402" spans="2:51" s="59" customFormat="1" ht="15" customHeight="1">
      <c r="B402" s="203"/>
      <c r="D402" s="186"/>
      <c r="E402" s="197"/>
      <c r="F402" s="207"/>
      <c r="G402" s="198"/>
      <c r="H402" s="199"/>
      <c r="I402" s="199"/>
      <c r="J402" s="187"/>
      <c r="K402" s="200"/>
      <c r="L402" s="363"/>
      <c r="M402" s="369"/>
      <c r="N402" s="364"/>
      <c r="O402" s="725"/>
      <c r="P402" s="725"/>
      <c r="Q402" s="725"/>
      <c r="R402" s="201"/>
      <c r="S402" s="202"/>
      <c r="T402" s="187"/>
      <c r="U402" s="200"/>
      <c r="Z402" s="60"/>
      <c r="AA402" s="60"/>
      <c r="AB402" s="60"/>
      <c r="AC402" s="60"/>
      <c r="AD402" s="60"/>
      <c r="AE402" s="60"/>
      <c r="AF402" s="60"/>
      <c r="AG402" s="60"/>
      <c r="AH402" s="60"/>
      <c r="AI402" s="60"/>
      <c r="AJ402" s="60"/>
      <c r="AR402" s="60"/>
      <c r="AS402" s="60"/>
      <c r="AT402" s="60"/>
      <c r="AU402" s="60"/>
      <c r="AV402" s="60"/>
      <c r="AW402" s="60"/>
      <c r="AX402" s="60"/>
      <c r="AY402" s="60"/>
    </row>
    <row r="403" spans="2:51" s="59" customFormat="1" ht="15" customHeight="1">
      <c r="B403" s="203"/>
      <c r="D403" s="186"/>
      <c r="E403" s="197"/>
      <c r="F403" s="207"/>
      <c r="G403" s="198"/>
      <c r="H403" s="199"/>
      <c r="I403" s="199"/>
      <c r="J403" s="187"/>
      <c r="K403" s="200"/>
      <c r="L403" s="363"/>
      <c r="M403" s="369"/>
      <c r="N403" s="364"/>
      <c r="O403" s="725"/>
      <c r="P403" s="725"/>
      <c r="Q403" s="725"/>
      <c r="R403" s="201"/>
      <c r="S403" s="202"/>
      <c r="T403" s="187"/>
      <c r="U403" s="200"/>
      <c r="Z403" s="60"/>
      <c r="AA403" s="60"/>
      <c r="AB403" s="60"/>
      <c r="AC403" s="60"/>
      <c r="AD403" s="60"/>
      <c r="AE403" s="60"/>
      <c r="AF403" s="60"/>
      <c r="AG403" s="60"/>
      <c r="AH403" s="60"/>
      <c r="AI403" s="60"/>
      <c r="AJ403" s="60"/>
      <c r="AR403" s="60"/>
      <c r="AS403" s="60"/>
      <c r="AT403" s="60"/>
      <c r="AU403" s="60"/>
      <c r="AV403" s="60"/>
      <c r="AW403" s="60"/>
      <c r="AX403" s="60"/>
      <c r="AY403" s="60"/>
    </row>
    <row r="404" spans="2:51" s="59" customFormat="1" ht="15" customHeight="1">
      <c r="B404" s="203"/>
      <c r="D404" s="186"/>
      <c r="E404" s="197"/>
      <c r="F404" s="207"/>
      <c r="G404" s="198"/>
      <c r="H404" s="199"/>
      <c r="I404" s="199"/>
      <c r="J404" s="187"/>
      <c r="K404" s="200"/>
      <c r="L404" s="363"/>
      <c r="M404" s="369"/>
      <c r="N404" s="364"/>
      <c r="O404" s="725"/>
      <c r="P404" s="725"/>
      <c r="Q404" s="725"/>
      <c r="R404" s="201"/>
      <c r="S404" s="202"/>
      <c r="T404" s="187"/>
      <c r="U404" s="200"/>
      <c r="Z404" s="60"/>
      <c r="AA404" s="60"/>
      <c r="AB404" s="60"/>
      <c r="AC404" s="60"/>
      <c r="AD404" s="60"/>
      <c r="AE404" s="60"/>
      <c r="AF404" s="60"/>
      <c r="AG404" s="60"/>
      <c r="AH404" s="60"/>
      <c r="AI404" s="60"/>
      <c r="AJ404" s="60"/>
      <c r="AR404" s="60"/>
      <c r="AS404" s="60"/>
      <c r="AT404" s="60"/>
      <c r="AU404" s="60"/>
      <c r="AV404" s="60"/>
      <c r="AW404" s="60"/>
      <c r="AX404" s="60"/>
      <c r="AY404" s="60"/>
    </row>
    <row r="405" spans="2:51" s="59" customFormat="1" ht="15" customHeight="1">
      <c r="B405" s="203"/>
      <c r="D405" s="186"/>
      <c r="E405" s="197"/>
      <c r="F405" s="207"/>
      <c r="G405" s="198"/>
      <c r="H405" s="199"/>
      <c r="I405" s="199"/>
      <c r="J405" s="187"/>
      <c r="K405" s="200"/>
      <c r="L405" s="363"/>
      <c r="M405" s="369"/>
      <c r="N405" s="364"/>
      <c r="O405" s="725"/>
      <c r="P405" s="725"/>
      <c r="Q405" s="725"/>
      <c r="R405" s="201"/>
      <c r="S405" s="202"/>
      <c r="T405" s="187"/>
      <c r="U405" s="200"/>
      <c r="Z405" s="60"/>
      <c r="AA405" s="60"/>
      <c r="AB405" s="60"/>
      <c r="AC405" s="60"/>
      <c r="AD405" s="60"/>
      <c r="AE405" s="60"/>
      <c r="AF405" s="60"/>
      <c r="AG405" s="60"/>
      <c r="AH405" s="60"/>
      <c r="AI405" s="60"/>
      <c r="AJ405" s="60"/>
      <c r="AR405" s="60"/>
      <c r="AS405" s="60"/>
      <c r="AT405" s="60"/>
      <c r="AU405" s="60"/>
      <c r="AV405" s="60"/>
      <c r="AW405" s="60"/>
      <c r="AX405" s="60"/>
      <c r="AY405" s="60"/>
    </row>
    <row r="406" spans="2:51" s="59" customFormat="1" ht="15" customHeight="1">
      <c r="B406" s="203"/>
      <c r="D406" s="186"/>
      <c r="E406" s="197"/>
      <c r="F406" s="207"/>
      <c r="G406" s="198"/>
      <c r="H406" s="199"/>
      <c r="I406" s="199"/>
      <c r="J406" s="187"/>
      <c r="K406" s="200"/>
      <c r="L406" s="363"/>
      <c r="M406" s="369"/>
      <c r="N406" s="364"/>
      <c r="O406" s="725"/>
      <c r="P406" s="725"/>
      <c r="Q406" s="725"/>
      <c r="R406" s="201"/>
      <c r="S406" s="202"/>
      <c r="T406" s="187"/>
      <c r="U406" s="200"/>
      <c r="Z406" s="60"/>
      <c r="AA406" s="60"/>
      <c r="AB406" s="60"/>
      <c r="AC406" s="60"/>
      <c r="AD406" s="60"/>
      <c r="AE406" s="60"/>
      <c r="AF406" s="60"/>
      <c r="AG406" s="60"/>
      <c r="AH406" s="60"/>
      <c r="AI406" s="60"/>
      <c r="AJ406" s="60"/>
      <c r="AR406" s="60"/>
      <c r="AS406" s="60"/>
      <c r="AT406" s="60"/>
      <c r="AU406" s="60"/>
      <c r="AV406" s="60"/>
      <c r="AW406" s="60"/>
      <c r="AX406" s="60"/>
      <c r="AY406" s="60"/>
    </row>
    <row r="407" spans="2:51" s="59" customFormat="1" ht="15" customHeight="1">
      <c r="B407" s="203"/>
      <c r="D407" s="186"/>
      <c r="E407" s="197"/>
      <c r="F407" s="207"/>
      <c r="G407" s="198"/>
      <c r="H407" s="199"/>
      <c r="I407" s="199"/>
      <c r="J407" s="187"/>
      <c r="K407" s="200"/>
      <c r="L407" s="363"/>
      <c r="M407" s="369"/>
      <c r="N407" s="364"/>
      <c r="O407" s="725"/>
      <c r="P407" s="725"/>
      <c r="Q407" s="725"/>
      <c r="R407" s="201"/>
      <c r="S407" s="202"/>
      <c r="T407" s="187"/>
      <c r="U407" s="200"/>
      <c r="Z407" s="60"/>
      <c r="AA407" s="60"/>
      <c r="AB407" s="60"/>
      <c r="AC407" s="60"/>
      <c r="AD407" s="60"/>
      <c r="AE407" s="60"/>
      <c r="AF407" s="60"/>
      <c r="AG407" s="60"/>
      <c r="AH407" s="60"/>
      <c r="AI407" s="60"/>
      <c r="AJ407" s="60"/>
      <c r="AR407" s="60"/>
      <c r="AS407" s="60"/>
      <c r="AT407" s="60"/>
      <c r="AU407" s="60"/>
      <c r="AV407" s="60"/>
      <c r="AW407" s="60"/>
      <c r="AX407" s="60"/>
      <c r="AY407" s="60"/>
    </row>
    <row r="408" spans="2:51" s="59" customFormat="1" ht="15" customHeight="1">
      <c r="B408" s="203"/>
      <c r="D408" s="186"/>
      <c r="E408" s="197"/>
      <c r="F408" s="207"/>
      <c r="G408" s="198"/>
      <c r="H408" s="199"/>
      <c r="I408" s="199"/>
      <c r="J408" s="187"/>
      <c r="K408" s="200"/>
      <c r="L408" s="363"/>
      <c r="M408" s="369"/>
      <c r="N408" s="364"/>
      <c r="O408" s="725"/>
      <c r="P408" s="725"/>
      <c r="Q408" s="725"/>
      <c r="R408" s="201"/>
      <c r="S408" s="202"/>
      <c r="T408" s="187"/>
      <c r="U408" s="200"/>
      <c r="Z408" s="60"/>
      <c r="AA408" s="60"/>
      <c r="AB408" s="60"/>
      <c r="AC408" s="60"/>
      <c r="AD408" s="60"/>
      <c r="AE408" s="60"/>
      <c r="AF408" s="60"/>
      <c r="AG408" s="60"/>
      <c r="AH408" s="60"/>
      <c r="AI408" s="60"/>
      <c r="AJ408" s="60"/>
      <c r="AR408" s="60"/>
      <c r="AS408" s="60"/>
      <c r="AT408" s="60"/>
      <c r="AU408" s="60"/>
      <c r="AV408" s="60"/>
      <c r="AW408" s="60"/>
      <c r="AX408" s="60"/>
      <c r="AY408" s="60"/>
    </row>
    <row r="409" spans="2:51" s="59" customFormat="1" ht="15" customHeight="1">
      <c r="B409" s="203"/>
      <c r="D409" s="186"/>
      <c r="E409" s="197"/>
      <c r="F409" s="207"/>
      <c r="G409" s="198"/>
      <c r="H409" s="199"/>
      <c r="I409" s="199"/>
      <c r="J409" s="187"/>
      <c r="K409" s="200"/>
      <c r="L409" s="363"/>
      <c r="M409" s="369"/>
      <c r="N409" s="364"/>
      <c r="O409" s="725"/>
      <c r="P409" s="725"/>
      <c r="Q409" s="725"/>
      <c r="R409" s="201"/>
      <c r="S409" s="202"/>
      <c r="T409" s="187"/>
      <c r="U409" s="200"/>
      <c r="Z409" s="60"/>
      <c r="AA409" s="60"/>
      <c r="AB409" s="60"/>
      <c r="AC409" s="60"/>
      <c r="AD409" s="60"/>
      <c r="AE409" s="60"/>
      <c r="AF409" s="60"/>
      <c r="AG409" s="60"/>
      <c r="AH409" s="60"/>
      <c r="AI409" s="60"/>
      <c r="AJ409" s="60"/>
      <c r="AR409" s="60"/>
      <c r="AS409" s="60"/>
      <c r="AT409" s="60"/>
      <c r="AU409" s="60"/>
      <c r="AV409" s="60"/>
      <c r="AW409" s="60"/>
      <c r="AX409" s="60"/>
      <c r="AY409" s="60"/>
    </row>
    <row r="410" spans="2:51" s="59" customFormat="1" ht="15" customHeight="1">
      <c r="B410" s="203"/>
      <c r="D410" s="186"/>
      <c r="E410" s="197"/>
      <c r="F410" s="207"/>
      <c r="G410" s="198"/>
      <c r="H410" s="199"/>
      <c r="I410" s="199"/>
      <c r="J410" s="187"/>
      <c r="K410" s="200"/>
      <c r="L410" s="363"/>
      <c r="M410" s="369"/>
      <c r="N410" s="364"/>
      <c r="O410" s="725"/>
      <c r="P410" s="725"/>
      <c r="Q410" s="725"/>
      <c r="R410" s="201"/>
      <c r="S410" s="202"/>
      <c r="T410" s="187"/>
      <c r="U410" s="200"/>
      <c r="Z410" s="60"/>
      <c r="AA410" s="60"/>
      <c r="AB410" s="60"/>
      <c r="AC410" s="60"/>
      <c r="AD410" s="60"/>
      <c r="AE410" s="60"/>
      <c r="AF410" s="60"/>
      <c r="AG410" s="60"/>
      <c r="AH410" s="60"/>
      <c r="AI410" s="60"/>
      <c r="AJ410" s="60"/>
      <c r="AR410" s="60"/>
      <c r="AS410" s="60"/>
      <c r="AT410" s="60"/>
      <c r="AU410" s="60"/>
      <c r="AV410" s="60"/>
      <c r="AW410" s="60"/>
      <c r="AX410" s="60"/>
      <c r="AY410" s="60"/>
    </row>
    <row r="411" spans="2:51" s="59" customFormat="1" ht="15" customHeight="1">
      <c r="B411" s="203"/>
      <c r="D411" s="186"/>
      <c r="E411" s="197"/>
      <c r="F411" s="207"/>
      <c r="G411" s="198"/>
      <c r="H411" s="199"/>
      <c r="I411" s="199"/>
      <c r="J411" s="187"/>
      <c r="K411" s="200"/>
      <c r="L411" s="363"/>
      <c r="M411" s="369"/>
      <c r="N411" s="364"/>
      <c r="O411" s="725"/>
      <c r="P411" s="725"/>
      <c r="Q411" s="725"/>
      <c r="R411" s="201"/>
      <c r="S411" s="202"/>
      <c r="T411" s="187"/>
      <c r="U411" s="200"/>
      <c r="Z411" s="60"/>
      <c r="AA411" s="60"/>
      <c r="AB411" s="60"/>
      <c r="AC411" s="60"/>
      <c r="AD411" s="60"/>
      <c r="AE411" s="60"/>
      <c r="AF411" s="60"/>
      <c r="AG411" s="60"/>
      <c r="AH411" s="60"/>
      <c r="AI411" s="60"/>
      <c r="AJ411" s="60"/>
      <c r="AR411" s="60"/>
      <c r="AS411" s="60"/>
      <c r="AT411" s="60"/>
      <c r="AU411" s="60"/>
      <c r="AV411" s="60"/>
      <c r="AW411" s="60"/>
      <c r="AX411" s="60"/>
      <c r="AY411" s="60"/>
    </row>
    <row r="412" spans="2:51" s="59" customFormat="1" ht="15" customHeight="1">
      <c r="B412" s="203"/>
      <c r="D412" s="186"/>
      <c r="E412" s="197"/>
      <c r="F412" s="207"/>
      <c r="G412" s="198"/>
      <c r="H412" s="199"/>
      <c r="I412" s="199"/>
      <c r="J412" s="187"/>
      <c r="K412" s="200"/>
      <c r="L412" s="363"/>
      <c r="M412" s="369"/>
      <c r="N412" s="364"/>
      <c r="O412" s="725"/>
      <c r="P412" s="725"/>
      <c r="Q412" s="725"/>
      <c r="R412" s="201"/>
      <c r="S412" s="202"/>
      <c r="T412" s="187"/>
      <c r="U412" s="200"/>
      <c r="Z412" s="60"/>
      <c r="AA412" s="60"/>
      <c r="AB412" s="60"/>
      <c r="AC412" s="60"/>
      <c r="AD412" s="60"/>
      <c r="AE412" s="60"/>
      <c r="AF412" s="60"/>
      <c r="AG412" s="60"/>
      <c r="AH412" s="60"/>
      <c r="AI412" s="60"/>
      <c r="AJ412" s="60"/>
      <c r="AR412" s="60"/>
      <c r="AS412" s="60"/>
      <c r="AT412" s="60"/>
      <c r="AU412" s="60"/>
      <c r="AV412" s="60"/>
      <c r="AW412" s="60"/>
      <c r="AX412" s="60"/>
      <c r="AY412" s="60"/>
    </row>
    <row r="413" spans="2:51" s="59" customFormat="1" ht="15" customHeight="1">
      <c r="B413" s="203"/>
      <c r="D413" s="186"/>
      <c r="E413" s="197"/>
      <c r="F413" s="207"/>
      <c r="G413" s="198"/>
      <c r="H413" s="199"/>
      <c r="I413" s="199"/>
      <c r="J413" s="187"/>
      <c r="K413" s="200"/>
      <c r="L413" s="363"/>
      <c r="M413" s="369"/>
      <c r="N413" s="364"/>
      <c r="O413" s="725"/>
      <c r="P413" s="725"/>
      <c r="Q413" s="725"/>
      <c r="R413" s="201"/>
      <c r="S413" s="202"/>
      <c r="T413" s="187"/>
      <c r="U413" s="200"/>
      <c r="Z413" s="60"/>
      <c r="AA413" s="60"/>
      <c r="AB413" s="60"/>
      <c r="AC413" s="60"/>
      <c r="AD413" s="60"/>
      <c r="AE413" s="60"/>
      <c r="AF413" s="60"/>
      <c r="AG413" s="60"/>
      <c r="AH413" s="60"/>
      <c r="AI413" s="60"/>
      <c r="AJ413" s="60"/>
      <c r="AR413" s="60"/>
      <c r="AS413" s="60"/>
      <c r="AT413" s="60"/>
      <c r="AU413" s="60"/>
      <c r="AV413" s="60"/>
      <c r="AW413" s="60"/>
      <c r="AX413" s="60"/>
      <c r="AY413" s="60"/>
    </row>
    <row r="414" spans="2:51" s="59" customFormat="1" ht="15" customHeight="1">
      <c r="B414" s="203"/>
      <c r="D414" s="186"/>
      <c r="E414" s="197"/>
      <c r="F414" s="207"/>
      <c r="G414" s="198"/>
      <c r="H414" s="199"/>
      <c r="I414" s="199"/>
      <c r="J414" s="187"/>
      <c r="K414" s="200"/>
      <c r="L414" s="363"/>
      <c r="M414" s="369"/>
      <c r="N414" s="364"/>
      <c r="O414" s="725"/>
      <c r="P414" s="725"/>
      <c r="Q414" s="725"/>
      <c r="R414" s="201"/>
      <c r="S414" s="202"/>
      <c r="T414" s="187"/>
      <c r="U414" s="200"/>
      <c r="Z414" s="60"/>
      <c r="AA414" s="60"/>
      <c r="AB414" s="60"/>
      <c r="AC414" s="60"/>
      <c r="AD414" s="60"/>
      <c r="AE414" s="60"/>
      <c r="AF414" s="60"/>
      <c r="AG414" s="60"/>
      <c r="AH414" s="60"/>
      <c r="AI414" s="60"/>
      <c r="AJ414" s="60"/>
      <c r="AR414" s="60"/>
      <c r="AS414" s="60"/>
      <c r="AT414" s="60"/>
      <c r="AU414" s="60"/>
      <c r="AV414" s="60"/>
      <c r="AW414" s="60"/>
      <c r="AX414" s="60"/>
      <c r="AY414" s="60"/>
    </row>
    <row r="415" spans="2:51" s="59" customFormat="1" ht="15" customHeight="1">
      <c r="B415" s="203"/>
      <c r="D415" s="186"/>
      <c r="E415" s="197"/>
      <c r="F415" s="207"/>
      <c r="G415" s="198"/>
      <c r="H415" s="199"/>
      <c r="I415" s="199"/>
      <c r="J415" s="187"/>
      <c r="K415" s="200"/>
      <c r="L415" s="363"/>
      <c r="M415" s="369"/>
      <c r="N415" s="364"/>
      <c r="O415" s="725"/>
      <c r="P415" s="725"/>
      <c r="Q415" s="725"/>
      <c r="R415" s="201"/>
      <c r="S415" s="202"/>
      <c r="T415" s="187"/>
      <c r="U415" s="200"/>
      <c r="Z415" s="60"/>
      <c r="AA415" s="60"/>
      <c r="AB415" s="60"/>
      <c r="AC415" s="60"/>
      <c r="AD415" s="60"/>
      <c r="AE415" s="60"/>
      <c r="AF415" s="60"/>
      <c r="AG415" s="60"/>
      <c r="AH415" s="60"/>
      <c r="AI415" s="60"/>
      <c r="AJ415" s="60"/>
      <c r="AR415" s="60"/>
      <c r="AS415" s="60"/>
      <c r="AT415" s="60"/>
      <c r="AU415" s="60"/>
      <c r="AV415" s="60"/>
      <c r="AW415" s="60"/>
      <c r="AX415" s="60"/>
      <c r="AY415" s="60"/>
    </row>
    <row r="416" spans="2:51" s="183" customFormat="1" ht="15" customHeight="1">
      <c r="B416" s="203"/>
      <c r="C416" s="59"/>
      <c r="D416" s="186"/>
      <c r="E416" s="197"/>
      <c r="F416" s="207"/>
      <c r="G416" s="198"/>
      <c r="H416" s="199"/>
      <c r="I416" s="199"/>
      <c r="J416" s="187"/>
      <c r="K416" s="200"/>
      <c r="L416" s="363"/>
      <c r="M416" s="369"/>
      <c r="N416" s="364"/>
      <c r="O416" s="725"/>
      <c r="P416" s="725"/>
      <c r="Q416" s="725"/>
      <c r="R416" s="201"/>
      <c r="S416" s="202"/>
      <c r="T416" s="187"/>
      <c r="U416" s="200"/>
      <c r="V416" s="59"/>
      <c r="Z416" s="108"/>
      <c r="AA416" s="60"/>
      <c r="AB416" s="60"/>
      <c r="AC416" s="60"/>
      <c r="AD416" s="60"/>
      <c r="AE416" s="60"/>
      <c r="AF416" s="60"/>
      <c r="AG416" s="60"/>
      <c r="AH416" s="60"/>
      <c r="AI416" s="108"/>
      <c r="AJ416" s="108"/>
      <c r="AK416" s="204"/>
      <c r="AL416" s="204"/>
      <c r="AM416" s="204"/>
      <c r="AN416" s="204"/>
      <c r="AO416" s="204"/>
      <c r="AP416" s="204"/>
      <c r="AR416" s="108"/>
      <c r="AS416" s="108"/>
      <c r="AT416" s="108"/>
      <c r="AU416" s="108"/>
      <c r="AV416" s="108"/>
      <c r="AW416" s="108"/>
      <c r="AX416" s="108"/>
      <c r="AY416" s="108"/>
    </row>
    <row r="417" spans="2:51" s="59" customFormat="1" ht="15" customHeight="1">
      <c r="B417" s="203"/>
      <c r="D417" s="186"/>
      <c r="E417" s="197"/>
      <c r="F417" s="207"/>
      <c r="G417" s="198"/>
      <c r="H417" s="199"/>
      <c r="I417" s="199"/>
      <c r="J417" s="187"/>
      <c r="K417" s="200"/>
      <c r="L417" s="363"/>
      <c r="M417" s="369"/>
      <c r="N417" s="364"/>
      <c r="O417" s="725"/>
      <c r="P417" s="725"/>
      <c r="Q417" s="725"/>
      <c r="R417" s="201"/>
      <c r="S417" s="202"/>
      <c r="T417" s="187"/>
      <c r="U417" s="200"/>
      <c r="Z417" s="60"/>
      <c r="AA417" s="60"/>
      <c r="AB417" s="60"/>
      <c r="AC417" s="60"/>
      <c r="AD417" s="60"/>
      <c r="AE417" s="60"/>
      <c r="AF417" s="60"/>
      <c r="AG417" s="60"/>
      <c r="AH417" s="60"/>
      <c r="AI417" s="60"/>
      <c r="AJ417" s="60"/>
      <c r="AR417" s="60"/>
      <c r="AS417" s="60"/>
      <c r="AT417" s="60"/>
      <c r="AU417" s="60"/>
      <c r="AV417" s="60"/>
      <c r="AW417" s="60"/>
      <c r="AX417" s="60"/>
      <c r="AY417" s="60"/>
    </row>
    <row r="418" spans="2:51" s="59" customFormat="1" ht="15" customHeight="1">
      <c r="B418" s="203"/>
      <c r="D418" s="186"/>
      <c r="E418" s="201"/>
      <c r="F418" s="202"/>
      <c r="G418" s="187"/>
      <c r="H418" s="187"/>
      <c r="I418" s="187"/>
      <c r="J418" s="187"/>
      <c r="K418" s="200"/>
      <c r="L418" s="363"/>
      <c r="M418" s="369"/>
      <c r="N418" s="364"/>
      <c r="O418" s="725"/>
      <c r="P418" s="725"/>
      <c r="Q418" s="725"/>
      <c r="R418" s="201"/>
      <c r="S418" s="202"/>
      <c r="T418" s="187"/>
      <c r="U418" s="200"/>
      <c r="Z418" s="60"/>
      <c r="AA418" s="60"/>
      <c r="AB418" s="60"/>
      <c r="AC418" s="60"/>
      <c r="AD418" s="60"/>
      <c r="AE418" s="60"/>
      <c r="AF418" s="60"/>
      <c r="AG418" s="60"/>
      <c r="AH418" s="60"/>
      <c r="AI418" s="60"/>
      <c r="AJ418" s="60"/>
      <c r="AR418" s="60"/>
      <c r="AS418" s="60"/>
      <c r="AT418" s="60"/>
      <c r="AU418" s="60"/>
      <c r="AV418" s="60"/>
      <c r="AW418" s="60"/>
      <c r="AX418" s="60"/>
      <c r="AY418" s="60"/>
    </row>
    <row r="419" spans="2:51" s="59" customFormat="1" ht="15" customHeight="1">
      <c r="B419" s="203"/>
      <c r="D419" s="186"/>
      <c r="E419" s="201"/>
      <c r="F419" s="187"/>
      <c r="G419" s="187"/>
      <c r="H419" s="187"/>
      <c r="I419" s="187"/>
      <c r="J419" s="187"/>
      <c r="K419" s="188"/>
      <c r="L419" s="363"/>
      <c r="M419" s="364"/>
      <c r="N419" s="364"/>
      <c r="O419" s="365"/>
      <c r="P419" s="365"/>
      <c r="Q419" s="188"/>
      <c r="R419" s="201"/>
      <c r="S419" s="187"/>
      <c r="T419" s="187"/>
      <c r="U419" s="188"/>
      <c r="Z419" s="60"/>
      <c r="AA419" s="60"/>
      <c r="AB419" s="60"/>
      <c r="AC419" s="60"/>
      <c r="AD419" s="60"/>
      <c r="AE419" s="60"/>
      <c r="AF419" s="60"/>
      <c r="AG419" s="60"/>
      <c r="AH419" s="60"/>
      <c r="AI419" s="60"/>
      <c r="AJ419" s="60"/>
      <c r="AR419" s="60"/>
      <c r="AS419" s="60"/>
      <c r="AT419" s="60"/>
      <c r="AU419" s="60"/>
      <c r="AV419" s="60"/>
      <c r="AW419" s="60"/>
      <c r="AX419" s="60"/>
      <c r="AY419" s="60"/>
    </row>
    <row r="420" spans="2:51" s="59" customFormat="1" ht="15" customHeight="1">
      <c r="B420" s="203"/>
      <c r="D420" s="186"/>
      <c r="E420" s="201"/>
      <c r="F420" s="199"/>
      <c r="G420" s="199"/>
      <c r="H420" s="199"/>
      <c r="I420" s="199"/>
      <c r="J420" s="199"/>
      <c r="K420" s="188"/>
      <c r="L420" s="363"/>
      <c r="M420" s="366"/>
      <c r="N420" s="366"/>
      <c r="O420" s="365"/>
      <c r="P420" s="365"/>
      <c r="Q420" s="188"/>
      <c r="R420" s="201"/>
      <c r="S420" s="199"/>
      <c r="T420" s="199"/>
      <c r="U420" s="188"/>
      <c r="Z420" s="60"/>
      <c r="AA420" s="60"/>
      <c r="AB420" s="60"/>
      <c r="AC420" s="60"/>
      <c r="AD420" s="60"/>
      <c r="AE420" s="60"/>
      <c r="AF420" s="60"/>
      <c r="AG420" s="60"/>
      <c r="AH420" s="60"/>
      <c r="AI420" s="60"/>
      <c r="AJ420" s="60"/>
      <c r="AR420" s="60"/>
      <c r="AS420" s="60"/>
      <c r="AT420" s="60"/>
      <c r="AU420" s="60"/>
      <c r="AV420" s="60"/>
      <c r="AW420" s="60"/>
      <c r="AX420" s="60"/>
      <c r="AY420" s="60"/>
    </row>
    <row r="421" spans="2:51" s="59" customFormat="1" ht="15" customHeight="1">
      <c r="B421" s="203"/>
      <c r="D421" s="186"/>
      <c r="E421" s="201"/>
      <c r="F421" s="199"/>
      <c r="G421" s="199"/>
      <c r="H421" s="199"/>
      <c r="I421" s="199"/>
      <c r="J421" s="199"/>
      <c r="K421" s="188"/>
      <c r="L421" s="363"/>
      <c r="M421" s="366"/>
      <c r="N421" s="366"/>
      <c r="O421" s="365"/>
      <c r="P421" s="365"/>
      <c r="Q421" s="188"/>
      <c r="R421" s="201"/>
      <c r="S421" s="199"/>
      <c r="T421" s="199"/>
      <c r="U421" s="188"/>
      <c r="Z421" s="60"/>
      <c r="AA421" s="60"/>
      <c r="AB421" s="60"/>
      <c r="AC421" s="60"/>
      <c r="AD421" s="60"/>
      <c r="AE421" s="60"/>
      <c r="AF421" s="60"/>
      <c r="AG421" s="60"/>
      <c r="AH421" s="60"/>
      <c r="AI421" s="60"/>
      <c r="AJ421" s="60"/>
      <c r="AR421" s="60"/>
      <c r="AS421" s="60"/>
      <c r="AT421" s="60"/>
      <c r="AU421" s="60"/>
      <c r="AV421" s="60"/>
      <c r="AW421" s="60"/>
      <c r="AX421" s="60"/>
      <c r="AY421" s="60"/>
    </row>
    <row r="422" spans="2:51" s="59" customFormat="1" ht="15" customHeight="1">
      <c r="B422" s="203"/>
      <c r="D422" s="186"/>
      <c r="E422" s="201"/>
      <c r="F422" s="201"/>
      <c r="G422" s="201"/>
      <c r="H422" s="201"/>
      <c r="I422" s="201"/>
      <c r="J422" s="201"/>
      <c r="K422" s="188"/>
      <c r="L422" s="363"/>
      <c r="M422" s="363"/>
      <c r="N422" s="363"/>
      <c r="O422" s="365"/>
      <c r="P422" s="365"/>
      <c r="Q422" s="188"/>
      <c r="R422" s="201"/>
      <c r="S422" s="201"/>
      <c r="T422" s="201"/>
      <c r="U422" s="188"/>
      <c r="Z422" s="60"/>
      <c r="AA422" s="60"/>
      <c r="AB422" s="60"/>
      <c r="AC422" s="60"/>
      <c r="AD422" s="60"/>
      <c r="AE422" s="60"/>
      <c r="AF422" s="60"/>
      <c r="AG422" s="60"/>
      <c r="AH422" s="60"/>
      <c r="AI422" s="60"/>
      <c r="AJ422" s="60"/>
      <c r="AR422" s="60"/>
      <c r="AS422" s="60"/>
      <c r="AT422" s="60"/>
      <c r="AU422" s="60"/>
      <c r="AV422" s="60"/>
      <c r="AW422" s="60"/>
      <c r="AX422" s="60"/>
      <c r="AY422" s="60"/>
    </row>
    <row r="423" spans="2:51" s="59" customFormat="1" ht="15" customHeight="1">
      <c r="B423" s="194"/>
      <c r="C423" s="183"/>
      <c r="D423" s="726"/>
      <c r="E423" s="726"/>
      <c r="F423" s="726"/>
      <c r="G423" s="726"/>
      <c r="H423" s="189"/>
      <c r="I423" s="189"/>
      <c r="J423" s="189"/>
      <c r="K423" s="195"/>
      <c r="L423" s="367"/>
      <c r="M423" s="367"/>
      <c r="N423" s="367"/>
      <c r="O423" s="368"/>
      <c r="P423" s="368"/>
      <c r="Q423" s="195"/>
      <c r="R423" s="196"/>
      <c r="S423" s="196"/>
      <c r="T423" s="196"/>
      <c r="U423" s="195"/>
      <c r="V423" s="183"/>
      <c r="Z423" s="60"/>
      <c r="AA423" s="60"/>
      <c r="AB423" s="60"/>
      <c r="AC423" s="60"/>
      <c r="AD423" s="60"/>
      <c r="AE423" s="60"/>
      <c r="AF423" s="60"/>
      <c r="AG423" s="60"/>
      <c r="AH423" s="60"/>
      <c r="AI423" s="60"/>
      <c r="AJ423" s="60"/>
      <c r="AR423" s="60"/>
      <c r="AS423" s="60"/>
      <c r="AT423" s="60"/>
      <c r="AU423" s="60"/>
      <c r="AV423" s="60"/>
      <c r="AW423" s="60"/>
      <c r="AX423" s="60"/>
      <c r="AY423" s="60"/>
    </row>
    <row r="424" spans="2:51" s="59" customFormat="1" ht="15" customHeight="1">
      <c r="B424" s="184"/>
      <c r="C424" s="185"/>
      <c r="D424" s="186"/>
      <c r="E424" s="197"/>
      <c r="F424" s="207"/>
      <c r="G424" s="198"/>
      <c r="H424" s="199"/>
      <c r="I424" s="199"/>
      <c r="J424" s="187"/>
      <c r="K424" s="200"/>
      <c r="L424" s="363"/>
      <c r="M424" s="369"/>
      <c r="N424" s="364"/>
      <c r="O424" s="725"/>
      <c r="P424" s="725"/>
      <c r="Q424" s="725"/>
      <c r="R424" s="201"/>
      <c r="S424" s="202"/>
      <c r="T424" s="187"/>
      <c r="U424" s="200"/>
      <c r="Z424" s="60"/>
      <c r="AA424" s="60"/>
      <c r="AB424" s="60"/>
      <c r="AC424" s="60"/>
      <c r="AD424" s="60"/>
      <c r="AE424" s="60"/>
      <c r="AF424" s="60"/>
      <c r="AG424" s="60"/>
      <c r="AH424" s="60"/>
      <c r="AI424" s="60"/>
      <c r="AJ424" s="60"/>
      <c r="AR424" s="60"/>
      <c r="AS424" s="60"/>
      <c r="AT424" s="60"/>
      <c r="AU424" s="60"/>
      <c r="AV424" s="60"/>
      <c r="AW424" s="60"/>
      <c r="AX424" s="60"/>
      <c r="AY424" s="60"/>
    </row>
    <row r="425" spans="2:51" s="59" customFormat="1" ht="15" customHeight="1">
      <c r="B425" s="184"/>
      <c r="D425" s="186"/>
      <c r="E425" s="197"/>
      <c r="F425" s="207"/>
      <c r="G425" s="198"/>
      <c r="H425" s="199"/>
      <c r="I425" s="199"/>
      <c r="J425" s="187"/>
      <c r="K425" s="200"/>
      <c r="L425" s="363"/>
      <c r="M425" s="369"/>
      <c r="N425" s="364"/>
      <c r="O425" s="725"/>
      <c r="P425" s="725"/>
      <c r="Q425" s="725"/>
      <c r="R425" s="201"/>
      <c r="S425" s="202"/>
      <c r="T425" s="187"/>
      <c r="U425" s="200"/>
      <c r="Z425" s="60"/>
      <c r="AA425" s="60"/>
      <c r="AB425" s="60"/>
      <c r="AC425" s="60"/>
      <c r="AD425" s="60"/>
      <c r="AE425" s="60"/>
      <c r="AF425" s="60"/>
      <c r="AG425" s="60"/>
      <c r="AH425" s="60"/>
      <c r="AI425" s="60"/>
      <c r="AJ425" s="60"/>
      <c r="AR425" s="60"/>
      <c r="AS425" s="60"/>
      <c r="AT425" s="60"/>
      <c r="AU425" s="60"/>
      <c r="AV425" s="60"/>
      <c r="AW425" s="60"/>
      <c r="AX425" s="60"/>
      <c r="AY425" s="60"/>
    </row>
    <row r="426" spans="2:51" s="59" customFormat="1" ht="15" customHeight="1">
      <c r="B426" s="184"/>
      <c r="D426" s="186"/>
      <c r="E426" s="197"/>
      <c r="F426" s="207"/>
      <c r="G426" s="198"/>
      <c r="H426" s="199"/>
      <c r="I426" s="199"/>
      <c r="J426" s="187"/>
      <c r="K426" s="200"/>
      <c r="L426" s="363"/>
      <c r="M426" s="369"/>
      <c r="N426" s="364"/>
      <c r="O426" s="725"/>
      <c r="P426" s="725"/>
      <c r="Q426" s="725"/>
      <c r="R426" s="201"/>
      <c r="S426" s="202"/>
      <c r="T426" s="187"/>
      <c r="U426" s="200"/>
      <c r="Z426" s="60"/>
      <c r="AA426" s="60"/>
      <c r="AB426" s="60"/>
      <c r="AC426" s="60"/>
      <c r="AD426" s="60"/>
      <c r="AE426" s="60"/>
      <c r="AF426" s="60"/>
      <c r="AG426" s="60"/>
      <c r="AH426" s="60"/>
      <c r="AI426" s="60"/>
      <c r="AJ426" s="60"/>
      <c r="AR426" s="60"/>
      <c r="AS426" s="60"/>
      <c r="AT426" s="60"/>
      <c r="AU426" s="60"/>
      <c r="AV426" s="60"/>
      <c r="AW426" s="60"/>
      <c r="AX426" s="60"/>
      <c r="AY426" s="60"/>
    </row>
    <row r="427" spans="2:51" s="59" customFormat="1" ht="15" customHeight="1">
      <c r="B427" s="184"/>
      <c r="D427" s="186"/>
      <c r="E427" s="197"/>
      <c r="F427" s="207"/>
      <c r="G427" s="198"/>
      <c r="H427" s="199"/>
      <c r="I427" s="199"/>
      <c r="J427" s="187"/>
      <c r="K427" s="200"/>
      <c r="L427" s="363"/>
      <c r="M427" s="369"/>
      <c r="N427" s="364"/>
      <c r="O427" s="725"/>
      <c r="P427" s="725"/>
      <c r="Q427" s="725"/>
      <c r="R427" s="201"/>
      <c r="S427" s="202"/>
      <c r="T427" s="187"/>
      <c r="U427" s="200"/>
      <c r="Z427" s="60"/>
      <c r="AA427" s="60"/>
      <c r="AB427" s="60"/>
      <c r="AC427" s="60"/>
      <c r="AD427" s="60"/>
      <c r="AE427" s="60"/>
      <c r="AF427" s="60"/>
      <c r="AG427" s="60"/>
      <c r="AH427" s="60"/>
      <c r="AI427" s="60"/>
      <c r="AJ427" s="60"/>
      <c r="AR427" s="60"/>
      <c r="AS427" s="60"/>
      <c r="AT427" s="60"/>
      <c r="AU427" s="60"/>
      <c r="AV427" s="60"/>
      <c r="AW427" s="60"/>
      <c r="AX427" s="60"/>
      <c r="AY427" s="60"/>
    </row>
    <row r="428" spans="2:51" s="59" customFormat="1" ht="15" customHeight="1">
      <c r="B428" s="184"/>
      <c r="D428" s="186"/>
      <c r="E428" s="197"/>
      <c r="F428" s="207"/>
      <c r="G428" s="198"/>
      <c r="H428" s="199"/>
      <c r="I428" s="199"/>
      <c r="J428" s="187"/>
      <c r="K428" s="200"/>
      <c r="L428" s="363"/>
      <c r="M428" s="369"/>
      <c r="N428" s="364"/>
      <c r="O428" s="725"/>
      <c r="P428" s="725"/>
      <c r="Q428" s="725"/>
      <c r="R428" s="201"/>
      <c r="S428" s="202"/>
      <c r="T428" s="187"/>
      <c r="U428" s="200"/>
      <c r="Z428" s="60"/>
      <c r="AA428" s="60"/>
      <c r="AB428" s="60"/>
      <c r="AC428" s="60"/>
      <c r="AD428" s="60"/>
      <c r="AE428" s="60"/>
      <c r="AF428" s="60"/>
      <c r="AG428" s="60"/>
      <c r="AH428" s="60"/>
      <c r="AI428" s="60"/>
      <c r="AJ428" s="60"/>
      <c r="AR428" s="60"/>
      <c r="AS428" s="60"/>
      <c r="AT428" s="60"/>
      <c r="AU428" s="60"/>
      <c r="AV428" s="60"/>
      <c r="AW428" s="60"/>
      <c r="AX428" s="60"/>
      <c r="AY428" s="60"/>
    </row>
    <row r="429" spans="2:51" s="59" customFormat="1" ht="15" customHeight="1">
      <c r="B429" s="184"/>
      <c r="D429" s="186"/>
      <c r="E429" s="197"/>
      <c r="F429" s="207"/>
      <c r="G429" s="198"/>
      <c r="H429" s="199"/>
      <c r="I429" s="199"/>
      <c r="J429" s="187"/>
      <c r="K429" s="200"/>
      <c r="L429" s="363"/>
      <c r="M429" s="369"/>
      <c r="N429" s="364"/>
      <c r="O429" s="725"/>
      <c r="P429" s="725"/>
      <c r="Q429" s="725"/>
      <c r="R429" s="201"/>
      <c r="S429" s="202"/>
      <c r="T429" s="187"/>
      <c r="U429" s="200"/>
      <c r="Z429" s="60"/>
      <c r="AA429" s="60"/>
      <c r="AB429" s="60"/>
      <c r="AC429" s="60"/>
      <c r="AD429" s="60"/>
      <c r="AE429" s="60"/>
      <c r="AF429" s="60"/>
      <c r="AG429" s="60"/>
      <c r="AH429" s="60"/>
      <c r="AI429" s="60"/>
      <c r="AJ429" s="60"/>
      <c r="AR429" s="60"/>
      <c r="AS429" s="60"/>
      <c r="AT429" s="60"/>
      <c r="AU429" s="60"/>
      <c r="AV429" s="60"/>
      <c r="AW429" s="60"/>
      <c r="AX429" s="60"/>
      <c r="AY429" s="60"/>
    </row>
    <row r="430" spans="2:51" s="59" customFormat="1" ht="15" customHeight="1">
      <c r="B430" s="184"/>
      <c r="D430" s="186"/>
      <c r="E430" s="197"/>
      <c r="F430" s="207"/>
      <c r="G430" s="198"/>
      <c r="H430" s="199"/>
      <c r="I430" s="199"/>
      <c r="J430" s="187"/>
      <c r="K430" s="200"/>
      <c r="L430" s="363"/>
      <c r="M430" s="369"/>
      <c r="N430" s="364"/>
      <c r="O430" s="725"/>
      <c r="P430" s="725"/>
      <c r="Q430" s="725"/>
      <c r="R430" s="201"/>
      <c r="S430" s="202"/>
      <c r="T430" s="187"/>
      <c r="U430" s="200"/>
      <c r="Z430" s="60"/>
      <c r="AA430" s="60"/>
      <c r="AB430" s="60"/>
      <c r="AC430" s="60"/>
      <c r="AD430" s="60"/>
      <c r="AE430" s="60"/>
      <c r="AF430" s="60"/>
      <c r="AG430" s="60"/>
      <c r="AH430" s="60"/>
      <c r="AI430" s="60"/>
      <c r="AJ430" s="60"/>
      <c r="AR430" s="60"/>
      <c r="AS430" s="60"/>
      <c r="AT430" s="60"/>
      <c r="AU430" s="60"/>
      <c r="AV430" s="60"/>
      <c r="AW430" s="60"/>
      <c r="AX430" s="60"/>
      <c r="AY430" s="60"/>
    </row>
    <row r="431" spans="2:51" s="59" customFormat="1" ht="15" customHeight="1">
      <c r="B431" s="184"/>
      <c r="D431" s="186"/>
      <c r="E431" s="197"/>
      <c r="F431" s="207"/>
      <c r="G431" s="198"/>
      <c r="H431" s="199"/>
      <c r="I431" s="199"/>
      <c r="J431" s="187"/>
      <c r="K431" s="200"/>
      <c r="L431" s="363"/>
      <c r="M431" s="369"/>
      <c r="N431" s="364"/>
      <c r="O431" s="725"/>
      <c r="P431" s="725"/>
      <c r="Q431" s="725"/>
      <c r="R431" s="201"/>
      <c r="S431" s="202"/>
      <c r="T431" s="187"/>
      <c r="U431" s="200"/>
      <c r="Z431" s="60"/>
      <c r="AA431" s="60"/>
      <c r="AB431" s="60"/>
      <c r="AC431" s="60"/>
      <c r="AD431" s="60"/>
      <c r="AE431" s="60"/>
      <c r="AF431" s="60"/>
      <c r="AG431" s="60"/>
      <c r="AH431" s="60"/>
      <c r="AI431" s="60"/>
      <c r="AJ431" s="60"/>
      <c r="AR431" s="60"/>
      <c r="AS431" s="60"/>
      <c r="AT431" s="60"/>
      <c r="AU431" s="60"/>
      <c r="AV431" s="60"/>
      <c r="AW431" s="60"/>
      <c r="AX431" s="60"/>
      <c r="AY431" s="60"/>
    </row>
    <row r="432" spans="2:51" s="59" customFormat="1" ht="15" customHeight="1">
      <c r="B432" s="184"/>
      <c r="D432" s="186"/>
      <c r="E432" s="197"/>
      <c r="F432" s="207"/>
      <c r="G432" s="198"/>
      <c r="H432" s="199"/>
      <c r="I432" s="199"/>
      <c r="J432" s="187"/>
      <c r="K432" s="200"/>
      <c r="L432" s="363"/>
      <c r="M432" s="369"/>
      <c r="N432" s="364"/>
      <c r="O432" s="725"/>
      <c r="P432" s="725"/>
      <c r="Q432" s="725"/>
      <c r="R432" s="201"/>
      <c r="S432" s="202"/>
      <c r="T432" s="187"/>
      <c r="U432" s="200"/>
      <c r="Z432" s="60"/>
      <c r="AA432" s="60"/>
      <c r="AB432" s="60"/>
      <c r="AC432" s="60"/>
      <c r="AD432" s="60"/>
      <c r="AE432" s="60"/>
      <c r="AF432" s="60"/>
      <c r="AG432" s="60"/>
      <c r="AH432" s="60"/>
      <c r="AI432" s="60"/>
      <c r="AJ432" s="60"/>
      <c r="AR432" s="60"/>
      <c r="AS432" s="60"/>
      <c r="AT432" s="60"/>
      <c r="AU432" s="60"/>
      <c r="AV432" s="60"/>
      <c r="AW432" s="60"/>
      <c r="AX432" s="60"/>
      <c r="AY432" s="60"/>
    </row>
    <row r="433" spans="2:51" s="59" customFormat="1" ht="15" customHeight="1">
      <c r="B433" s="184"/>
      <c r="D433" s="186"/>
      <c r="E433" s="197"/>
      <c r="F433" s="207"/>
      <c r="G433" s="198"/>
      <c r="H433" s="199"/>
      <c r="I433" s="199"/>
      <c r="J433" s="187"/>
      <c r="K433" s="200"/>
      <c r="L433" s="363"/>
      <c r="M433" s="369"/>
      <c r="N433" s="364"/>
      <c r="O433" s="725"/>
      <c r="P433" s="725"/>
      <c r="Q433" s="725"/>
      <c r="R433" s="201"/>
      <c r="S433" s="202"/>
      <c r="T433" s="187"/>
      <c r="U433" s="200"/>
      <c r="Z433" s="60"/>
      <c r="AA433" s="60"/>
      <c r="AB433" s="60"/>
      <c r="AC433" s="60"/>
      <c r="AD433" s="60"/>
      <c r="AE433" s="60"/>
      <c r="AF433" s="60"/>
      <c r="AG433" s="60"/>
      <c r="AH433" s="60"/>
      <c r="AI433" s="60"/>
      <c r="AJ433" s="60"/>
      <c r="AR433" s="60"/>
      <c r="AS433" s="60"/>
      <c r="AT433" s="60"/>
      <c r="AU433" s="60"/>
      <c r="AV433" s="60"/>
      <c r="AW433" s="60"/>
      <c r="AX433" s="60"/>
      <c r="AY433" s="60"/>
    </row>
    <row r="434" spans="2:51" s="59" customFormat="1" ht="15" customHeight="1">
      <c r="B434" s="184"/>
      <c r="D434" s="186"/>
      <c r="E434" s="197"/>
      <c r="F434" s="207"/>
      <c r="G434" s="198"/>
      <c r="H434" s="199"/>
      <c r="I434" s="199"/>
      <c r="J434" s="187"/>
      <c r="K434" s="200"/>
      <c r="L434" s="363"/>
      <c r="M434" s="369"/>
      <c r="N434" s="364"/>
      <c r="O434" s="725"/>
      <c r="P434" s="725"/>
      <c r="Q434" s="725"/>
      <c r="R434" s="201"/>
      <c r="S434" s="202"/>
      <c r="T434" s="187"/>
      <c r="U434" s="200"/>
      <c r="Z434" s="60"/>
      <c r="AA434" s="60"/>
      <c r="AB434" s="60"/>
      <c r="AC434" s="60"/>
      <c r="AD434" s="60"/>
      <c r="AE434" s="60"/>
      <c r="AF434" s="60"/>
      <c r="AG434" s="60"/>
      <c r="AH434" s="60"/>
      <c r="AI434" s="60"/>
      <c r="AJ434" s="60"/>
      <c r="AR434" s="60"/>
      <c r="AS434" s="60"/>
      <c r="AT434" s="60"/>
      <c r="AU434" s="60"/>
      <c r="AV434" s="60"/>
      <c r="AW434" s="60"/>
      <c r="AX434" s="60"/>
      <c r="AY434" s="60"/>
    </row>
    <row r="435" spans="2:51" s="59" customFormat="1" ht="15" customHeight="1">
      <c r="B435" s="184"/>
      <c r="D435" s="186"/>
      <c r="E435" s="197"/>
      <c r="F435" s="207"/>
      <c r="G435" s="198"/>
      <c r="H435" s="199"/>
      <c r="I435" s="199"/>
      <c r="J435" s="187"/>
      <c r="K435" s="200"/>
      <c r="L435" s="363"/>
      <c r="M435" s="369"/>
      <c r="N435" s="364"/>
      <c r="O435" s="725"/>
      <c r="P435" s="725"/>
      <c r="Q435" s="725"/>
      <c r="R435" s="201"/>
      <c r="S435" s="202"/>
      <c r="T435" s="187"/>
      <c r="U435" s="200"/>
      <c r="Z435" s="60"/>
      <c r="AA435" s="60"/>
      <c r="AB435" s="60"/>
      <c r="AC435" s="60"/>
      <c r="AD435" s="60"/>
      <c r="AE435" s="60"/>
      <c r="AF435" s="60"/>
      <c r="AG435" s="60"/>
      <c r="AH435" s="60"/>
      <c r="AI435" s="60"/>
      <c r="AJ435" s="60"/>
      <c r="AR435" s="60"/>
      <c r="AS435" s="60"/>
      <c r="AT435" s="60"/>
      <c r="AU435" s="60"/>
      <c r="AV435" s="60"/>
      <c r="AW435" s="60"/>
      <c r="AX435" s="60"/>
      <c r="AY435" s="60"/>
    </row>
    <row r="436" spans="2:51" s="59" customFormat="1" ht="15" customHeight="1">
      <c r="B436" s="203"/>
      <c r="D436" s="186"/>
      <c r="E436" s="197"/>
      <c r="F436" s="207"/>
      <c r="G436" s="198"/>
      <c r="H436" s="199"/>
      <c r="I436" s="199"/>
      <c r="J436" s="187"/>
      <c r="K436" s="200"/>
      <c r="L436" s="363"/>
      <c r="M436" s="369"/>
      <c r="N436" s="364"/>
      <c r="O436" s="725"/>
      <c r="P436" s="725"/>
      <c r="Q436" s="725"/>
      <c r="R436" s="201"/>
      <c r="S436" s="202"/>
      <c r="T436" s="187"/>
      <c r="U436" s="200"/>
      <c r="Z436" s="60"/>
      <c r="AA436" s="60"/>
      <c r="AB436" s="60"/>
      <c r="AC436" s="60"/>
      <c r="AD436" s="60"/>
      <c r="AE436" s="60"/>
      <c r="AF436" s="60"/>
      <c r="AG436" s="60"/>
      <c r="AH436" s="60"/>
      <c r="AI436" s="60"/>
      <c r="AJ436" s="60"/>
      <c r="AR436" s="60"/>
      <c r="AS436" s="60"/>
      <c r="AT436" s="60"/>
      <c r="AU436" s="60"/>
      <c r="AV436" s="60"/>
      <c r="AW436" s="60"/>
      <c r="AX436" s="60"/>
      <c r="AY436" s="60"/>
    </row>
    <row r="437" spans="2:51" s="59" customFormat="1" ht="15" customHeight="1">
      <c r="B437" s="203"/>
      <c r="D437" s="186"/>
      <c r="E437" s="197"/>
      <c r="F437" s="207"/>
      <c r="G437" s="198"/>
      <c r="H437" s="199"/>
      <c r="I437" s="199"/>
      <c r="J437" s="187"/>
      <c r="K437" s="200"/>
      <c r="L437" s="363"/>
      <c r="M437" s="369"/>
      <c r="N437" s="364"/>
      <c r="O437" s="725"/>
      <c r="P437" s="725"/>
      <c r="Q437" s="725"/>
      <c r="R437" s="201"/>
      <c r="S437" s="202"/>
      <c r="T437" s="187"/>
      <c r="U437" s="200"/>
      <c r="Z437" s="60"/>
      <c r="AA437" s="60"/>
      <c r="AB437" s="60"/>
      <c r="AC437" s="60"/>
      <c r="AD437" s="60"/>
      <c r="AE437" s="60"/>
      <c r="AF437" s="60"/>
      <c r="AG437" s="60"/>
      <c r="AH437" s="60"/>
      <c r="AI437" s="60"/>
      <c r="AJ437" s="60"/>
      <c r="AR437" s="60"/>
      <c r="AS437" s="60"/>
      <c r="AT437" s="60"/>
      <c r="AU437" s="60"/>
      <c r="AV437" s="60"/>
      <c r="AW437" s="60"/>
      <c r="AX437" s="60"/>
      <c r="AY437" s="60"/>
    </row>
    <row r="438" spans="2:51" s="59" customFormat="1" ht="15" customHeight="1">
      <c r="B438" s="203"/>
      <c r="D438" s="186"/>
      <c r="E438" s="197"/>
      <c r="F438" s="207"/>
      <c r="G438" s="198"/>
      <c r="H438" s="199"/>
      <c r="I438" s="199"/>
      <c r="J438" s="187"/>
      <c r="K438" s="200"/>
      <c r="L438" s="363"/>
      <c r="M438" s="369"/>
      <c r="N438" s="364"/>
      <c r="O438" s="725"/>
      <c r="P438" s="725"/>
      <c r="Q438" s="725"/>
      <c r="R438" s="201"/>
      <c r="S438" s="202"/>
      <c r="T438" s="187"/>
      <c r="U438" s="200"/>
      <c r="Z438" s="60"/>
      <c r="AA438" s="60"/>
      <c r="AB438" s="60"/>
      <c r="AC438" s="60"/>
      <c r="AD438" s="60"/>
      <c r="AE438" s="60"/>
      <c r="AF438" s="60"/>
      <c r="AG438" s="60"/>
      <c r="AH438" s="60"/>
      <c r="AI438" s="60"/>
      <c r="AJ438" s="60"/>
      <c r="AR438" s="60"/>
      <c r="AS438" s="60"/>
      <c r="AT438" s="60"/>
      <c r="AU438" s="60"/>
      <c r="AV438" s="60"/>
      <c r="AW438" s="60"/>
      <c r="AX438" s="60"/>
      <c r="AY438" s="60"/>
    </row>
    <row r="439" spans="2:51" s="59" customFormat="1" ht="15" customHeight="1">
      <c r="B439" s="203"/>
      <c r="D439" s="186"/>
      <c r="E439" s="197"/>
      <c r="F439" s="207"/>
      <c r="G439" s="198"/>
      <c r="H439" s="199"/>
      <c r="I439" s="199"/>
      <c r="J439" s="187"/>
      <c r="K439" s="200"/>
      <c r="L439" s="363"/>
      <c r="M439" s="369"/>
      <c r="N439" s="364"/>
      <c r="O439" s="725"/>
      <c r="P439" s="725"/>
      <c r="Q439" s="725"/>
      <c r="R439" s="201"/>
      <c r="S439" s="202"/>
      <c r="T439" s="187"/>
      <c r="U439" s="200"/>
      <c r="Z439" s="60"/>
      <c r="AA439" s="60"/>
      <c r="AB439" s="60"/>
      <c r="AC439" s="60"/>
      <c r="AD439" s="60"/>
      <c r="AE439" s="60"/>
      <c r="AF439" s="60"/>
      <c r="AG439" s="60"/>
      <c r="AH439" s="60"/>
      <c r="AI439" s="60"/>
      <c r="AJ439" s="60"/>
      <c r="AR439" s="60"/>
      <c r="AS439" s="60"/>
      <c r="AT439" s="60"/>
      <c r="AU439" s="60"/>
      <c r="AV439" s="60"/>
      <c r="AW439" s="60"/>
      <c r="AX439" s="60"/>
      <c r="AY439" s="60"/>
    </row>
    <row r="440" spans="2:51" s="59" customFormat="1" ht="15" customHeight="1">
      <c r="B440" s="203"/>
      <c r="D440" s="186"/>
      <c r="E440" s="197"/>
      <c r="F440" s="207"/>
      <c r="G440" s="198"/>
      <c r="H440" s="199"/>
      <c r="I440" s="199"/>
      <c r="J440" s="187"/>
      <c r="K440" s="200"/>
      <c r="L440" s="363"/>
      <c r="M440" s="369"/>
      <c r="N440" s="364"/>
      <c r="O440" s="725"/>
      <c r="P440" s="725"/>
      <c r="Q440" s="725"/>
      <c r="R440" s="201"/>
      <c r="S440" s="202"/>
      <c r="T440" s="187"/>
      <c r="U440" s="200"/>
      <c r="Z440" s="60"/>
      <c r="AA440" s="60"/>
      <c r="AB440" s="60"/>
      <c r="AC440" s="60"/>
      <c r="AD440" s="60"/>
      <c r="AE440" s="60"/>
      <c r="AF440" s="60"/>
      <c r="AG440" s="60"/>
      <c r="AH440" s="60"/>
      <c r="AI440" s="60"/>
      <c r="AJ440" s="60"/>
      <c r="AR440" s="60"/>
      <c r="AS440" s="60"/>
      <c r="AT440" s="60"/>
      <c r="AU440" s="60"/>
      <c r="AV440" s="60"/>
      <c r="AW440" s="60"/>
      <c r="AX440" s="60"/>
      <c r="AY440" s="60"/>
    </row>
    <row r="441" spans="2:51" s="59" customFormat="1" ht="15" customHeight="1">
      <c r="B441" s="203"/>
      <c r="D441" s="186"/>
      <c r="E441" s="197"/>
      <c r="F441" s="207"/>
      <c r="G441" s="198"/>
      <c r="H441" s="199"/>
      <c r="I441" s="199"/>
      <c r="J441" s="187"/>
      <c r="K441" s="200"/>
      <c r="L441" s="363"/>
      <c r="M441" s="369"/>
      <c r="N441" s="364"/>
      <c r="O441" s="725"/>
      <c r="P441" s="725"/>
      <c r="Q441" s="725"/>
      <c r="R441" s="201"/>
      <c r="S441" s="202"/>
      <c r="T441" s="187"/>
      <c r="U441" s="200"/>
      <c r="Z441" s="60"/>
      <c r="AA441" s="60"/>
      <c r="AB441" s="60"/>
      <c r="AC441" s="60"/>
      <c r="AD441" s="60"/>
      <c r="AE441" s="60"/>
      <c r="AF441" s="60"/>
      <c r="AG441" s="60"/>
      <c r="AH441" s="60"/>
      <c r="AI441" s="60"/>
      <c r="AJ441" s="60"/>
      <c r="AR441" s="60"/>
      <c r="AS441" s="60"/>
      <c r="AT441" s="60"/>
      <c r="AU441" s="60"/>
      <c r="AV441" s="60"/>
      <c r="AW441" s="60"/>
      <c r="AX441" s="60"/>
      <c r="AY441" s="60"/>
    </row>
    <row r="442" spans="2:51" s="59" customFormat="1" ht="15" customHeight="1">
      <c r="B442" s="203"/>
      <c r="D442" s="186"/>
      <c r="E442" s="197"/>
      <c r="F442" s="207"/>
      <c r="G442" s="198"/>
      <c r="H442" s="199"/>
      <c r="I442" s="199"/>
      <c r="J442" s="187"/>
      <c r="K442" s="200"/>
      <c r="L442" s="363"/>
      <c r="M442" s="369"/>
      <c r="N442" s="364"/>
      <c r="O442" s="725"/>
      <c r="P442" s="725"/>
      <c r="Q442" s="725"/>
      <c r="R442" s="201"/>
      <c r="S442" s="202"/>
      <c r="T442" s="187"/>
      <c r="U442" s="200"/>
      <c r="Z442" s="60"/>
      <c r="AA442" s="60"/>
      <c r="AB442" s="60"/>
      <c r="AC442" s="60"/>
      <c r="AD442" s="60"/>
      <c r="AE442" s="60"/>
      <c r="AF442" s="60"/>
      <c r="AG442" s="60"/>
      <c r="AH442" s="60"/>
      <c r="AI442" s="60"/>
      <c r="AJ442" s="60"/>
      <c r="AR442" s="60"/>
      <c r="AS442" s="60"/>
      <c r="AT442" s="60"/>
      <c r="AU442" s="60"/>
      <c r="AV442" s="60"/>
      <c r="AW442" s="60"/>
      <c r="AX442" s="60"/>
      <c r="AY442" s="60"/>
    </row>
    <row r="443" spans="2:51" s="59" customFormat="1" ht="15" customHeight="1">
      <c r="B443" s="203"/>
      <c r="D443" s="186"/>
      <c r="E443" s="197"/>
      <c r="F443" s="207"/>
      <c r="G443" s="198"/>
      <c r="H443" s="199"/>
      <c r="I443" s="199"/>
      <c r="J443" s="187"/>
      <c r="K443" s="200"/>
      <c r="L443" s="363"/>
      <c r="M443" s="369"/>
      <c r="N443" s="364"/>
      <c r="O443" s="725"/>
      <c r="P443" s="725"/>
      <c r="Q443" s="725"/>
      <c r="R443" s="201"/>
      <c r="S443" s="202"/>
      <c r="T443" s="187"/>
      <c r="U443" s="200"/>
      <c r="Z443" s="60"/>
      <c r="AA443" s="60"/>
      <c r="AB443" s="60"/>
      <c r="AC443" s="60"/>
      <c r="AD443" s="60"/>
      <c r="AE443" s="60"/>
      <c r="AF443" s="60"/>
      <c r="AG443" s="60"/>
      <c r="AH443" s="60"/>
      <c r="AI443" s="60"/>
      <c r="AJ443" s="60"/>
      <c r="AR443" s="60"/>
      <c r="AS443" s="60"/>
      <c r="AT443" s="60"/>
      <c r="AU443" s="60"/>
      <c r="AV443" s="60"/>
      <c r="AW443" s="60"/>
      <c r="AX443" s="60"/>
      <c r="AY443" s="60"/>
    </row>
    <row r="444" spans="2:51" s="59" customFormat="1" ht="15" customHeight="1">
      <c r="B444" s="203"/>
      <c r="D444" s="186"/>
      <c r="E444" s="197"/>
      <c r="F444" s="207"/>
      <c r="G444" s="198"/>
      <c r="H444" s="199"/>
      <c r="I444" s="199"/>
      <c r="J444" s="187"/>
      <c r="K444" s="200"/>
      <c r="L444" s="363"/>
      <c r="M444" s="369"/>
      <c r="N444" s="364"/>
      <c r="O444" s="725"/>
      <c r="P444" s="725"/>
      <c r="Q444" s="725"/>
      <c r="R444" s="201"/>
      <c r="S444" s="202"/>
      <c r="T444" s="187"/>
      <c r="U444" s="200"/>
      <c r="Z444" s="60"/>
      <c r="AA444" s="60"/>
      <c r="AB444" s="60"/>
      <c r="AC444" s="60"/>
      <c r="AD444" s="60"/>
      <c r="AE444" s="60"/>
      <c r="AF444" s="60"/>
      <c r="AG444" s="60"/>
      <c r="AH444" s="60"/>
      <c r="AI444" s="60"/>
      <c r="AJ444" s="60"/>
      <c r="AR444" s="60"/>
      <c r="AS444" s="60"/>
      <c r="AT444" s="60"/>
      <c r="AU444" s="60"/>
      <c r="AV444" s="60"/>
      <c r="AW444" s="60"/>
      <c r="AX444" s="60"/>
      <c r="AY444" s="60"/>
    </row>
    <row r="445" spans="2:51" s="59" customFormat="1" ht="15" customHeight="1">
      <c r="B445" s="203"/>
      <c r="D445" s="186"/>
      <c r="E445" s="197"/>
      <c r="F445" s="207"/>
      <c r="G445" s="198"/>
      <c r="H445" s="199"/>
      <c r="I445" s="199"/>
      <c r="J445" s="187"/>
      <c r="K445" s="200"/>
      <c r="L445" s="363"/>
      <c r="M445" s="369"/>
      <c r="N445" s="364"/>
      <c r="O445" s="725"/>
      <c r="P445" s="725"/>
      <c r="Q445" s="725"/>
      <c r="R445" s="201"/>
      <c r="S445" s="202"/>
      <c r="T445" s="187"/>
      <c r="U445" s="200"/>
      <c r="Z445" s="60"/>
      <c r="AA445" s="60"/>
      <c r="AB445" s="60"/>
      <c r="AC445" s="60"/>
      <c r="AD445" s="60"/>
      <c r="AE445" s="60"/>
      <c r="AF445" s="60"/>
      <c r="AG445" s="60"/>
      <c r="AH445" s="60"/>
      <c r="AI445" s="60"/>
      <c r="AJ445" s="60"/>
      <c r="AR445" s="60"/>
      <c r="AS445" s="60"/>
      <c r="AT445" s="60"/>
      <c r="AU445" s="60"/>
      <c r="AV445" s="60"/>
      <c r="AW445" s="60"/>
      <c r="AX445" s="60"/>
      <c r="AY445" s="60"/>
    </row>
    <row r="446" spans="2:51" s="59" customFormat="1" ht="15" customHeight="1">
      <c r="B446" s="203"/>
      <c r="D446" s="186"/>
      <c r="E446" s="197"/>
      <c r="F446" s="207"/>
      <c r="G446" s="198"/>
      <c r="H446" s="199"/>
      <c r="I446" s="199"/>
      <c r="J446" s="187"/>
      <c r="K446" s="200"/>
      <c r="L446" s="363"/>
      <c r="M446" s="369"/>
      <c r="N446" s="364"/>
      <c r="O446" s="725"/>
      <c r="P446" s="725"/>
      <c r="Q446" s="725"/>
      <c r="R446" s="201"/>
      <c r="S446" s="202"/>
      <c r="T446" s="187"/>
      <c r="U446" s="200"/>
      <c r="Z446" s="60"/>
      <c r="AA446" s="60"/>
      <c r="AB446" s="60"/>
      <c r="AC446" s="60"/>
      <c r="AD446" s="60"/>
      <c r="AE446" s="60"/>
      <c r="AF446" s="60"/>
      <c r="AG446" s="60"/>
      <c r="AH446" s="60"/>
      <c r="AI446" s="60"/>
      <c r="AJ446" s="60"/>
      <c r="AR446" s="60"/>
      <c r="AS446" s="60"/>
      <c r="AT446" s="60"/>
      <c r="AU446" s="60"/>
      <c r="AV446" s="60"/>
      <c r="AW446" s="60"/>
      <c r="AX446" s="60"/>
      <c r="AY446" s="60"/>
    </row>
    <row r="447" spans="2:51" s="59" customFormat="1" ht="15" customHeight="1">
      <c r="B447" s="203"/>
      <c r="D447" s="186"/>
      <c r="E447" s="197"/>
      <c r="F447" s="207"/>
      <c r="G447" s="198"/>
      <c r="H447" s="199"/>
      <c r="I447" s="199"/>
      <c r="J447" s="187"/>
      <c r="K447" s="200"/>
      <c r="L447" s="363"/>
      <c r="M447" s="369"/>
      <c r="N447" s="364"/>
      <c r="O447" s="725"/>
      <c r="P447" s="725"/>
      <c r="Q447" s="725"/>
      <c r="R447" s="201"/>
      <c r="S447" s="202"/>
      <c r="T447" s="187"/>
      <c r="U447" s="200"/>
      <c r="Z447" s="60"/>
      <c r="AA447" s="60"/>
      <c r="AB447" s="60"/>
      <c r="AC447" s="60"/>
      <c r="AD447" s="60"/>
      <c r="AE447" s="60"/>
      <c r="AF447" s="60"/>
      <c r="AG447" s="60"/>
      <c r="AH447" s="60"/>
      <c r="AI447" s="60"/>
      <c r="AJ447" s="60"/>
      <c r="AR447" s="60"/>
      <c r="AS447" s="60"/>
      <c r="AT447" s="60"/>
      <c r="AU447" s="60"/>
      <c r="AV447" s="60"/>
      <c r="AW447" s="60"/>
      <c r="AX447" s="60"/>
      <c r="AY447" s="60"/>
    </row>
    <row r="448" spans="2:51" s="59" customFormat="1" ht="15" customHeight="1">
      <c r="B448" s="203"/>
      <c r="D448" s="186"/>
      <c r="E448" s="197"/>
      <c r="F448" s="207"/>
      <c r="G448" s="198"/>
      <c r="H448" s="199"/>
      <c r="I448" s="199"/>
      <c r="J448" s="187"/>
      <c r="K448" s="200"/>
      <c r="L448" s="363"/>
      <c r="M448" s="369"/>
      <c r="N448" s="364"/>
      <c r="O448" s="725"/>
      <c r="P448" s="725"/>
      <c r="Q448" s="725"/>
      <c r="R448" s="201"/>
      <c r="S448" s="202"/>
      <c r="T448" s="187"/>
      <c r="U448" s="200"/>
      <c r="Z448" s="60"/>
      <c r="AA448" s="60"/>
      <c r="AB448" s="60"/>
      <c r="AC448" s="60"/>
      <c r="AD448" s="60"/>
      <c r="AE448" s="60"/>
      <c r="AF448" s="60"/>
      <c r="AG448" s="60"/>
      <c r="AH448" s="60"/>
      <c r="AI448" s="60"/>
      <c r="AJ448" s="60"/>
      <c r="AR448" s="60"/>
      <c r="AS448" s="60"/>
      <c r="AT448" s="60"/>
      <c r="AU448" s="60"/>
      <c r="AV448" s="60"/>
      <c r="AW448" s="60"/>
      <c r="AX448" s="60"/>
      <c r="AY448" s="60"/>
    </row>
    <row r="449" spans="2:51" s="59" customFormat="1" ht="15" customHeight="1">
      <c r="B449" s="203"/>
      <c r="D449" s="186"/>
      <c r="E449" s="197"/>
      <c r="F449" s="207"/>
      <c r="G449" s="198"/>
      <c r="H449" s="199"/>
      <c r="I449" s="199"/>
      <c r="J449" s="187"/>
      <c r="K449" s="200"/>
      <c r="L449" s="363"/>
      <c r="M449" s="369"/>
      <c r="N449" s="364"/>
      <c r="O449" s="725"/>
      <c r="P449" s="725"/>
      <c r="Q449" s="725"/>
      <c r="R449" s="201"/>
      <c r="S449" s="202"/>
      <c r="T449" s="187"/>
      <c r="U449" s="200"/>
      <c r="Z449" s="60"/>
      <c r="AA449" s="60"/>
      <c r="AB449" s="60"/>
      <c r="AC449" s="60"/>
      <c r="AD449" s="60"/>
      <c r="AE449" s="60"/>
      <c r="AF449" s="60"/>
      <c r="AG449" s="60"/>
      <c r="AH449" s="60"/>
      <c r="AI449" s="60"/>
      <c r="AJ449" s="60"/>
      <c r="AR449" s="60"/>
      <c r="AS449" s="60"/>
      <c r="AT449" s="60"/>
      <c r="AU449" s="60"/>
      <c r="AV449" s="60"/>
      <c r="AW449" s="60"/>
      <c r="AX449" s="60"/>
      <c r="AY449" s="60"/>
    </row>
    <row r="450" spans="2:51" s="59" customFormat="1" ht="15" customHeight="1">
      <c r="B450" s="203"/>
      <c r="D450" s="186"/>
      <c r="E450" s="197"/>
      <c r="F450" s="207"/>
      <c r="G450" s="198"/>
      <c r="H450" s="199"/>
      <c r="I450" s="199"/>
      <c r="J450" s="187"/>
      <c r="K450" s="200"/>
      <c r="L450" s="363"/>
      <c r="M450" s="369"/>
      <c r="N450" s="364"/>
      <c r="O450" s="725"/>
      <c r="P450" s="725"/>
      <c r="Q450" s="725"/>
      <c r="R450" s="201"/>
      <c r="S450" s="202"/>
      <c r="T450" s="187"/>
      <c r="U450" s="200"/>
      <c r="Z450" s="60"/>
      <c r="AA450" s="60"/>
      <c r="AB450" s="60"/>
      <c r="AC450" s="60"/>
      <c r="AD450" s="60"/>
      <c r="AE450" s="60"/>
      <c r="AF450" s="60"/>
      <c r="AG450" s="60"/>
      <c r="AH450" s="60"/>
      <c r="AI450" s="60"/>
      <c r="AJ450" s="60"/>
      <c r="AR450" s="60"/>
      <c r="AS450" s="60"/>
      <c r="AT450" s="60"/>
      <c r="AU450" s="60"/>
      <c r="AV450" s="60"/>
      <c r="AW450" s="60"/>
      <c r="AX450" s="60"/>
      <c r="AY450" s="60"/>
    </row>
    <row r="451" spans="2:51" s="59" customFormat="1" ht="15" customHeight="1">
      <c r="B451" s="203"/>
      <c r="D451" s="186"/>
      <c r="E451" s="197"/>
      <c r="F451" s="207"/>
      <c r="G451" s="198"/>
      <c r="H451" s="199"/>
      <c r="I451" s="199"/>
      <c r="J451" s="187"/>
      <c r="K451" s="200"/>
      <c r="L451" s="363"/>
      <c r="M451" s="369"/>
      <c r="N451" s="364"/>
      <c r="O451" s="725"/>
      <c r="P451" s="725"/>
      <c r="Q451" s="725"/>
      <c r="R451" s="201"/>
      <c r="S451" s="202"/>
      <c r="T451" s="187"/>
      <c r="U451" s="200"/>
      <c r="Z451" s="60"/>
      <c r="AA451" s="60"/>
      <c r="AB451" s="60"/>
      <c r="AC451" s="60"/>
      <c r="AD451" s="60"/>
      <c r="AE451" s="60"/>
      <c r="AF451" s="60"/>
      <c r="AG451" s="60"/>
      <c r="AH451" s="60"/>
      <c r="AI451" s="60"/>
      <c r="AJ451" s="60"/>
      <c r="AR451" s="60"/>
      <c r="AS451" s="60"/>
      <c r="AT451" s="60"/>
      <c r="AU451" s="60"/>
      <c r="AV451" s="60"/>
      <c r="AW451" s="60"/>
      <c r="AX451" s="60"/>
      <c r="AY451" s="60"/>
    </row>
    <row r="452" spans="2:51" s="59" customFormat="1" ht="15" customHeight="1">
      <c r="B452" s="203"/>
      <c r="D452" s="186"/>
      <c r="E452" s="197"/>
      <c r="F452" s="207"/>
      <c r="G452" s="198"/>
      <c r="H452" s="199"/>
      <c r="I452" s="199"/>
      <c r="J452" s="187"/>
      <c r="K452" s="200"/>
      <c r="L452" s="363"/>
      <c r="M452" s="369"/>
      <c r="N452" s="364"/>
      <c r="O452" s="725"/>
      <c r="P452" s="725"/>
      <c r="Q452" s="725"/>
      <c r="R452" s="201"/>
      <c r="S452" s="202"/>
      <c r="T452" s="187"/>
      <c r="U452" s="200"/>
      <c r="Z452" s="60"/>
      <c r="AA452" s="60"/>
      <c r="AB452" s="60"/>
      <c r="AC452" s="60"/>
      <c r="AD452" s="60"/>
      <c r="AE452" s="60"/>
      <c r="AF452" s="60"/>
      <c r="AG452" s="60"/>
      <c r="AH452" s="60"/>
      <c r="AI452" s="60"/>
      <c r="AJ452" s="60"/>
      <c r="AR452" s="60"/>
      <c r="AS452" s="60"/>
      <c r="AT452" s="60"/>
      <c r="AU452" s="60"/>
      <c r="AV452" s="60"/>
      <c r="AW452" s="60"/>
      <c r="AX452" s="60"/>
      <c r="AY452" s="60"/>
    </row>
    <row r="453" spans="2:51" s="59" customFormat="1" ht="15" customHeight="1">
      <c r="B453" s="203"/>
      <c r="D453" s="186"/>
      <c r="E453" s="197"/>
      <c r="F453" s="207"/>
      <c r="G453" s="198"/>
      <c r="H453" s="199"/>
      <c r="I453" s="199"/>
      <c r="J453" s="187"/>
      <c r="K453" s="200"/>
      <c r="L453" s="363"/>
      <c r="M453" s="369"/>
      <c r="N453" s="364"/>
      <c r="O453" s="725"/>
      <c r="P453" s="725"/>
      <c r="Q453" s="725"/>
      <c r="R453" s="201"/>
      <c r="S453" s="202"/>
      <c r="T453" s="187"/>
      <c r="U453" s="200"/>
      <c r="Z453" s="60"/>
      <c r="AA453" s="60"/>
      <c r="AB453" s="60"/>
      <c r="AC453" s="60"/>
      <c r="AD453" s="60"/>
      <c r="AE453" s="60"/>
      <c r="AF453" s="60"/>
      <c r="AG453" s="61"/>
      <c r="AH453" s="60"/>
      <c r="AI453" s="60"/>
      <c r="AJ453" s="60"/>
      <c r="AR453" s="60"/>
      <c r="AS453" s="60"/>
      <c r="AT453" s="60"/>
      <c r="AU453" s="60"/>
      <c r="AV453" s="60"/>
      <c r="AW453" s="60"/>
      <c r="AX453" s="60"/>
      <c r="AY453" s="60"/>
    </row>
    <row r="454" spans="2:51" s="59" customFormat="1" ht="15" customHeight="1">
      <c r="B454" s="203"/>
      <c r="D454" s="186"/>
      <c r="E454" s="197"/>
      <c r="F454" s="207"/>
      <c r="G454" s="198"/>
      <c r="H454" s="199"/>
      <c r="I454" s="199"/>
      <c r="J454" s="187"/>
      <c r="K454" s="200"/>
      <c r="L454" s="363"/>
      <c r="M454" s="369"/>
      <c r="N454" s="364"/>
      <c r="O454" s="725"/>
      <c r="P454" s="725"/>
      <c r="Q454" s="725"/>
      <c r="R454" s="201"/>
      <c r="S454" s="202"/>
      <c r="T454" s="187"/>
      <c r="U454" s="200"/>
      <c r="Z454" s="60"/>
      <c r="AA454" s="60"/>
      <c r="AB454" s="60"/>
      <c r="AC454" s="60"/>
      <c r="AD454" s="60"/>
      <c r="AE454" s="60"/>
      <c r="AF454" s="60"/>
      <c r="AG454" s="215"/>
      <c r="AH454" s="60"/>
      <c r="AI454" s="60"/>
      <c r="AJ454" s="60"/>
      <c r="AR454" s="60"/>
      <c r="AS454" s="60"/>
      <c r="AT454" s="60"/>
      <c r="AU454" s="60"/>
      <c r="AV454" s="60"/>
      <c r="AW454" s="60"/>
      <c r="AX454" s="60"/>
      <c r="AY454" s="60"/>
    </row>
    <row r="455" spans="2:51" s="59" customFormat="1" ht="15" customHeight="1">
      <c r="B455" s="203"/>
      <c r="D455" s="186"/>
      <c r="F455" s="190"/>
      <c r="G455" s="190"/>
      <c r="H455" s="190"/>
      <c r="I455" s="190"/>
      <c r="J455" s="190"/>
      <c r="K455" s="191"/>
      <c r="L455" s="363"/>
      <c r="M455" s="364"/>
      <c r="N455" s="364"/>
      <c r="O455" s="365"/>
      <c r="P455" s="365"/>
      <c r="Q455" s="192"/>
      <c r="S455" s="190"/>
      <c r="T455" s="190"/>
      <c r="U455" s="192"/>
      <c r="Z455" s="60"/>
      <c r="AA455" s="66"/>
      <c r="AB455" s="60"/>
      <c r="AC455" s="60"/>
      <c r="AD455" s="60"/>
      <c r="AE455" s="60"/>
      <c r="AF455" s="60"/>
      <c r="AG455" s="215"/>
      <c r="AH455" s="60"/>
      <c r="AI455" s="60"/>
      <c r="AJ455" s="60"/>
      <c r="AR455" s="60"/>
      <c r="AS455" s="60"/>
      <c r="AT455" s="60"/>
      <c r="AU455" s="60"/>
      <c r="AV455" s="60"/>
      <c r="AW455" s="60"/>
      <c r="AX455" s="60"/>
      <c r="AY455" s="60"/>
    </row>
    <row r="456" spans="2:51" s="59" customFormat="1" ht="15" customHeight="1">
      <c r="B456" s="203"/>
      <c r="D456" s="186"/>
      <c r="F456" s="209"/>
      <c r="G456" s="209"/>
      <c r="H456" s="209"/>
      <c r="I456" s="209"/>
      <c r="J456" s="209"/>
      <c r="K456" s="191"/>
      <c r="L456" s="363"/>
      <c r="M456" s="366"/>
      <c r="N456" s="366"/>
      <c r="O456" s="365"/>
      <c r="P456" s="365"/>
      <c r="Q456" s="192"/>
      <c r="S456" s="209"/>
      <c r="T456" s="209"/>
      <c r="U456" s="192"/>
      <c r="Z456" s="60"/>
      <c r="AA456" s="60"/>
      <c r="AB456" s="60"/>
      <c r="AC456" s="60"/>
      <c r="AD456" s="60"/>
      <c r="AE456" s="60"/>
      <c r="AF456" s="60"/>
      <c r="AG456" s="215"/>
      <c r="AH456" s="60"/>
      <c r="AI456" s="60"/>
      <c r="AJ456" s="60"/>
      <c r="AR456" s="60"/>
      <c r="AS456" s="60"/>
      <c r="AT456" s="60"/>
      <c r="AU456" s="60"/>
      <c r="AV456" s="60"/>
      <c r="AW456" s="60"/>
      <c r="AX456" s="60"/>
      <c r="AY456" s="60"/>
    </row>
    <row r="457" spans="2:51" s="59" customFormat="1" ht="15" customHeight="1">
      <c r="B457" s="203"/>
      <c r="D457" s="186"/>
      <c r="E457" s="197"/>
      <c r="F457" s="209"/>
      <c r="G457" s="198"/>
      <c r="H457" s="209"/>
      <c r="I457" s="209"/>
      <c r="J457" s="209"/>
      <c r="K457" s="210"/>
      <c r="L457" s="363"/>
      <c r="M457" s="369"/>
      <c r="N457" s="364"/>
      <c r="O457" s="729"/>
      <c r="P457" s="729"/>
      <c r="Q457" s="729"/>
      <c r="R457" s="211"/>
      <c r="S457" s="212"/>
      <c r="T457" s="213"/>
      <c r="U457" s="210"/>
      <c r="Z457" s="60"/>
      <c r="AA457" s="60"/>
      <c r="AB457" s="60"/>
      <c r="AC457" s="60"/>
      <c r="AD457" s="60"/>
      <c r="AE457" s="60"/>
      <c r="AF457" s="60"/>
      <c r="AG457" s="215"/>
      <c r="AH457" s="60"/>
      <c r="AI457" s="60"/>
      <c r="AJ457" s="60"/>
      <c r="AR457" s="60"/>
      <c r="AS457" s="60"/>
      <c r="AT457" s="60"/>
      <c r="AU457" s="60"/>
      <c r="AV457" s="60"/>
      <c r="AW457" s="60"/>
      <c r="AX457" s="60"/>
      <c r="AY457" s="60"/>
    </row>
    <row r="458" spans="2:51" s="59" customFormat="1" ht="15" customHeight="1">
      <c r="B458" s="203"/>
      <c r="D458" s="186"/>
      <c r="E458" s="197"/>
      <c r="F458" s="209"/>
      <c r="G458" s="198"/>
      <c r="H458" s="209"/>
      <c r="I458" s="209"/>
      <c r="J458" s="209"/>
      <c r="K458" s="210"/>
      <c r="L458" s="363"/>
      <c r="M458" s="369"/>
      <c r="N458" s="364"/>
      <c r="O458" s="729"/>
      <c r="P458" s="729"/>
      <c r="Q458" s="729"/>
      <c r="R458" s="211"/>
      <c r="S458" s="212"/>
      <c r="T458" s="213"/>
      <c r="U458" s="210"/>
      <c r="Z458" s="60"/>
      <c r="AA458" s="60"/>
      <c r="AB458" s="60"/>
      <c r="AC458" s="60"/>
      <c r="AD458" s="60"/>
      <c r="AE458" s="60"/>
      <c r="AF458" s="60"/>
      <c r="AG458" s="215"/>
      <c r="AH458" s="60"/>
      <c r="AI458" s="60"/>
      <c r="AJ458" s="60"/>
      <c r="AR458" s="60"/>
      <c r="AS458" s="60"/>
      <c r="AT458" s="60"/>
      <c r="AU458" s="60"/>
      <c r="AV458" s="60"/>
      <c r="AW458" s="60"/>
      <c r="AX458" s="60"/>
      <c r="AY458" s="60"/>
    </row>
    <row r="459" spans="2:51" s="59" customFormat="1" ht="15" customHeight="1">
      <c r="B459" s="203"/>
      <c r="D459" s="186"/>
      <c r="E459" s="197"/>
      <c r="F459" s="209"/>
      <c r="G459" s="198"/>
      <c r="H459" s="209"/>
      <c r="I459" s="209"/>
      <c r="J459" s="209"/>
      <c r="K459" s="210"/>
      <c r="L459" s="363"/>
      <c r="M459" s="369"/>
      <c r="N459" s="364"/>
      <c r="O459" s="729"/>
      <c r="P459" s="729"/>
      <c r="Q459" s="729"/>
      <c r="R459" s="211"/>
      <c r="S459" s="212"/>
      <c r="T459" s="213"/>
      <c r="U459" s="210"/>
      <c r="Z459" s="60"/>
      <c r="AA459" s="60"/>
      <c r="AB459" s="60"/>
      <c r="AC459" s="60"/>
      <c r="AD459" s="60"/>
      <c r="AE459" s="60"/>
      <c r="AF459" s="60"/>
      <c r="AG459" s="215"/>
      <c r="AH459" s="60"/>
      <c r="AI459" s="60"/>
      <c r="AJ459" s="60"/>
      <c r="AR459" s="60"/>
      <c r="AS459" s="60"/>
      <c r="AT459" s="60"/>
      <c r="AU459" s="60"/>
      <c r="AV459" s="60"/>
      <c r="AW459" s="60"/>
      <c r="AX459" s="60"/>
      <c r="AY459" s="60"/>
    </row>
    <row r="460" spans="2:51" s="59" customFormat="1" ht="15" customHeight="1">
      <c r="B460" s="203"/>
      <c r="D460" s="186"/>
      <c r="E460" s="197"/>
      <c r="F460" s="209"/>
      <c r="G460" s="198"/>
      <c r="H460" s="209"/>
      <c r="I460" s="209"/>
      <c r="J460" s="209"/>
      <c r="K460" s="210"/>
      <c r="L460" s="363"/>
      <c r="M460" s="369"/>
      <c r="N460" s="364"/>
      <c r="O460" s="729"/>
      <c r="P460" s="729"/>
      <c r="Q460" s="729"/>
      <c r="R460" s="211"/>
      <c r="S460" s="212"/>
      <c r="T460" s="213"/>
      <c r="U460" s="210"/>
      <c r="Z460" s="60"/>
      <c r="AA460" s="60"/>
      <c r="AB460" s="60"/>
      <c r="AC460" s="60"/>
      <c r="AD460" s="60"/>
      <c r="AE460" s="60"/>
      <c r="AF460" s="60"/>
      <c r="AG460" s="215"/>
      <c r="AH460" s="60"/>
      <c r="AI460" s="60"/>
      <c r="AJ460" s="60"/>
      <c r="AR460" s="60"/>
      <c r="AS460" s="60"/>
      <c r="AT460" s="60"/>
      <c r="AU460" s="60"/>
      <c r="AV460" s="60"/>
      <c r="AW460" s="60"/>
      <c r="AX460" s="60"/>
      <c r="AY460" s="60"/>
    </row>
    <row r="461" spans="2:51" s="59" customFormat="1" ht="15" customHeight="1">
      <c r="B461" s="203"/>
      <c r="D461" s="186"/>
      <c r="E461" s="197"/>
      <c r="F461" s="209"/>
      <c r="G461" s="198"/>
      <c r="H461" s="209"/>
      <c r="I461" s="209"/>
      <c r="J461" s="209"/>
      <c r="K461" s="210"/>
      <c r="L461" s="363"/>
      <c r="M461" s="369"/>
      <c r="N461" s="364"/>
      <c r="O461" s="729"/>
      <c r="P461" s="729"/>
      <c r="Q461" s="729"/>
      <c r="R461" s="211"/>
      <c r="S461" s="212"/>
      <c r="T461" s="213"/>
      <c r="U461" s="210"/>
      <c r="Z461" s="60"/>
      <c r="AA461" s="60"/>
      <c r="AB461" s="60"/>
      <c r="AC461" s="60"/>
      <c r="AD461" s="60"/>
      <c r="AE461" s="60"/>
      <c r="AF461" s="60"/>
      <c r="AG461" s="215"/>
      <c r="AH461" s="60"/>
      <c r="AI461" s="60"/>
      <c r="AJ461" s="60"/>
      <c r="AR461" s="60"/>
      <c r="AS461" s="60"/>
      <c r="AT461" s="60"/>
      <c r="AU461" s="60"/>
      <c r="AV461" s="60"/>
      <c r="AW461" s="60"/>
      <c r="AX461" s="60"/>
      <c r="AY461" s="60"/>
    </row>
    <row r="462" spans="2:51" s="59" customFormat="1" ht="15" customHeight="1">
      <c r="B462" s="203"/>
      <c r="D462" s="186"/>
      <c r="E462" s="197"/>
      <c r="F462" s="214"/>
      <c r="G462" s="198"/>
      <c r="H462" s="209"/>
      <c r="I462" s="209"/>
      <c r="J462" s="209"/>
      <c r="K462" s="210"/>
      <c r="L462" s="363"/>
      <c r="M462" s="369"/>
      <c r="N462" s="364"/>
      <c r="O462" s="729"/>
      <c r="P462" s="729"/>
      <c r="Q462" s="729"/>
      <c r="R462" s="211"/>
      <c r="S462" s="212"/>
      <c r="T462" s="213"/>
      <c r="U462" s="210"/>
      <c r="Z462" s="60"/>
      <c r="AA462" s="60"/>
      <c r="AB462" s="60"/>
      <c r="AC462" s="60"/>
      <c r="AD462" s="60"/>
      <c r="AE462" s="60"/>
      <c r="AF462" s="60"/>
      <c r="AG462" s="215"/>
      <c r="AH462" s="60"/>
      <c r="AI462" s="60"/>
      <c r="AJ462" s="60"/>
      <c r="AR462" s="60"/>
      <c r="AS462" s="60"/>
      <c r="AT462" s="60"/>
      <c r="AU462" s="60"/>
      <c r="AV462" s="60"/>
      <c r="AW462" s="60"/>
      <c r="AX462" s="60"/>
      <c r="AY462" s="60"/>
    </row>
    <row r="463" spans="2:51" s="59" customFormat="1" ht="15" customHeight="1">
      <c r="B463" s="203"/>
      <c r="D463" s="186"/>
      <c r="E463" s="197"/>
      <c r="F463" s="209"/>
      <c r="G463" s="198"/>
      <c r="H463" s="209"/>
      <c r="I463" s="209"/>
      <c r="J463" s="209"/>
      <c r="K463" s="210"/>
      <c r="L463" s="363"/>
      <c r="M463" s="369"/>
      <c r="N463" s="364"/>
      <c r="O463" s="729"/>
      <c r="P463" s="729"/>
      <c r="Q463" s="729"/>
      <c r="R463" s="211"/>
      <c r="S463" s="212"/>
      <c r="T463" s="213"/>
      <c r="U463" s="210"/>
      <c r="Z463" s="60"/>
      <c r="AA463" s="60"/>
      <c r="AB463" s="60"/>
      <c r="AC463" s="60"/>
      <c r="AD463" s="60"/>
      <c r="AE463" s="60"/>
      <c r="AF463" s="60"/>
      <c r="AG463" s="215"/>
      <c r="AH463" s="60"/>
      <c r="AI463" s="60"/>
      <c r="AJ463" s="60"/>
      <c r="AR463" s="60"/>
      <c r="AS463" s="60"/>
      <c r="AT463" s="60"/>
      <c r="AU463" s="60"/>
      <c r="AV463" s="60"/>
      <c r="AW463" s="60"/>
      <c r="AX463" s="60"/>
      <c r="AY463" s="60"/>
    </row>
    <row r="464" spans="2:51" s="59" customFormat="1" ht="15" customHeight="1">
      <c r="B464" s="203"/>
      <c r="C464" s="186"/>
      <c r="D464" s="186"/>
      <c r="E464" s="197"/>
      <c r="F464" s="186"/>
      <c r="G464" s="198"/>
      <c r="H464" s="186"/>
      <c r="I464" s="186"/>
      <c r="J464" s="186"/>
      <c r="K464" s="210"/>
      <c r="L464" s="363"/>
      <c r="M464" s="369"/>
      <c r="N464" s="364"/>
      <c r="O464" s="729"/>
      <c r="P464" s="729"/>
      <c r="Q464" s="729"/>
      <c r="R464" s="211"/>
      <c r="S464" s="212"/>
      <c r="T464" s="213"/>
      <c r="U464" s="210"/>
      <c r="V464" s="186"/>
      <c r="Z464" s="60"/>
      <c r="AA464" s="60"/>
      <c r="AB464" s="60"/>
      <c r="AC464" s="60"/>
      <c r="AD464" s="60"/>
      <c r="AE464" s="60"/>
      <c r="AF464" s="60"/>
      <c r="AG464" s="215"/>
      <c r="AH464" s="60"/>
      <c r="AI464" s="60"/>
      <c r="AJ464" s="60"/>
      <c r="AR464" s="60"/>
      <c r="AS464" s="60"/>
      <c r="AT464" s="60"/>
      <c r="AU464" s="60"/>
      <c r="AV464" s="60"/>
      <c r="AW464" s="60"/>
      <c r="AX464" s="60"/>
      <c r="AY464" s="60"/>
    </row>
    <row r="465" spans="2:51" s="59" customFormat="1" ht="15" customHeight="1">
      <c r="B465" s="203"/>
      <c r="C465" s="186"/>
      <c r="D465" s="186"/>
      <c r="E465" s="197"/>
      <c r="F465" s="186"/>
      <c r="G465" s="198"/>
      <c r="H465" s="186"/>
      <c r="I465" s="186"/>
      <c r="J465" s="186"/>
      <c r="K465" s="210"/>
      <c r="L465" s="363"/>
      <c r="M465" s="369"/>
      <c r="N465" s="364"/>
      <c r="O465" s="729"/>
      <c r="P465" s="729"/>
      <c r="Q465" s="729"/>
      <c r="R465" s="211"/>
      <c r="S465" s="212"/>
      <c r="T465" s="213"/>
      <c r="U465" s="210"/>
      <c r="V465" s="186"/>
      <c r="Z465" s="60"/>
      <c r="AA465" s="60"/>
      <c r="AB465" s="60"/>
      <c r="AC465" s="60"/>
      <c r="AD465" s="60"/>
      <c r="AE465" s="60"/>
      <c r="AF465" s="60"/>
      <c r="AG465" s="215"/>
      <c r="AH465" s="60"/>
      <c r="AI465" s="60"/>
      <c r="AJ465" s="60"/>
      <c r="AR465" s="60"/>
      <c r="AS465" s="60"/>
      <c r="AT465" s="60"/>
      <c r="AU465" s="60"/>
      <c r="AV465" s="60"/>
      <c r="AW465" s="60"/>
      <c r="AX465" s="60"/>
      <c r="AY465" s="60"/>
    </row>
    <row r="466" spans="2:51" s="59" customFormat="1">
      <c r="B466" s="203"/>
      <c r="C466" s="186"/>
      <c r="D466" s="186"/>
      <c r="E466" s="186"/>
      <c r="F466" s="186"/>
      <c r="G466" s="186"/>
      <c r="H466" s="186"/>
      <c r="I466" s="186"/>
      <c r="J466" s="186"/>
      <c r="K466" s="186"/>
      <c r="L466" s="370"/>
      <c r="M466" s="370"/>
      <c r="N466" s="370"/>
      <c r="O466" s="370"/>
      <c r="P466" s="370"/>
      <c r="Q466" s="186"/>
      <c r="R466" s="186"/>
      <c r="S466" s="186"/>
      <c r="T466" s="186"/>
      <c r="U466" s="186"/>
      <c r="V466" s="186"/>
      <c r="Z466" s="60"/>
      <c r="AA466" s="60"/>
      <c r="AB466" s="60"/>
      <c r="AC466" s="60"/>
      <c r="AD466" s="60"/>
      <c r="AE466" s="60"/>
      <c r="AF466" s="60"/>
      <c r="AG466" s="215"/>
      <c r="AH466" s="60"/>
      <c r="AI466" s="60"/>
      <c r="AJ466" s="60"/>
      <c r="AR466" s="60"/>
      <c r="AS466" s="60"/>
      <c r="AT466" s="60"/>
      <c r="AU466" s="60"/>
      <c r="AV466" s="60"/>
      <c r="AW466" s="60"/>
      <c r="AX466" s="60"/>
      <c r="AY466" s="60"/>
    </row>
    <row r="467" spans="2:51" s="59" customFormat="1">
      <c r="B467" s="203"/>
      <c r="C467" s="186"/>
      <c r="D467" s="186"/>
      <c r="E467" s="186"/>
      <c r="F467" s="186"/>
      <c r="G467" s="186"/>
      <c r="H467" s="186"/>
      <c r="I467" s="186"/>
      <c r="J467" s="186"/>
      <c r="K467" s="186"/>
      <c r="L467" s="370"/>
      <c r="M467" s="370"/>
      <c r="N467" s="370"/>
      <c r="O467" s="370"/>
      <c r="P467" s="370"/>
      <c r="Q467" s="186"/>
      <c r="R467" s="186"/>
      <c r="S467" s="186"/>
      <c r="T467" s="186"/>
      <c r="U467" s="186"/>
      <c r="V467" s="186"/>
      <c r="Z467" s="60"/>
      <c r="AA467" s="60"/>
      <c r="AB467" s="60"/>
      <c r="AC467" s="60"/>
      <c r="AD467" s="60"/>
      <c r="AE467" s="60"/>
      <c r="AF467" s="60"/>
      <c r="AG467" s="215"/>
      <c r="AH467" s="60"/>
      <c r="AI467" s="60"/>
      <c r="AJ467" s="60"/>
      <c r="AR467" s="60"/>
      <c r="AS467" s="60"/>
      <c r="AT467" s="60"/>
      <c r="AU467" s="60"/>
      <c r="AV467" s="60"/>
      <c r="AW467" s="60"/>
      <c r="AX467" s="60"/>
      <c r="AY467" s="60"/>
    </row>
    <row r="468" spans="2:51" s="59" customFormat="1">
      <c r="B468" s="203"/>
      <c r="D468" s="186"/>
      <c r="F468" s="209"/>
      <c r="G468" s="209"/>
      <c r="H468" s="209"/>
      <c r="I468" s="209"/>
      <c r="J468" s="209"/>
      <c r="K468" s="191"/>
      <c r="L468" s="363"/>
      <c r="M468" s="366"/>
      <c r="N468" s="366"/>
      <c r="O468" s="365"/>
      <c r="P468" s="365"/>
      <c r="Q468" s="192"/>
      <c r="S468" s="209"/>
      <c r="T468" s="209"/>
      <c r="U468" s="192"/>
      <c r="Z468" s="60"/>
      <c r="AA468" s="60"/>
      <c r="AB468" s="60"/>
      <c r="AC468" s="60"/>
      <c r="AD468" s="60"/>
      <c r="AE468" s="60"/>
      <c r="AF468" s="60"/>
      <c r="AG468" s="215"/>
      <c r="AH468" s="60"/>
      <c r="AI468" s="60"/>
      <c r="AJ468" s="60"/>
      <c r="AR468" s="60"/>
      <c r="AS468" s="60"/>
      <c r="AT468" s="60"/>
      <c r="AU468" s="60"/>
      <c r="AV468" s="60"/>
      <c r="AW468" s="60"/>
      <c r="AX468" s="60"/>
      <c r="AY468" s="60"/>
    </row>
    <row r="469" spans="2:51" s="59" customFormat="1">
      <c r="B469" s="203"/>
      <c r="D469" s="186"/>
      <c r="F469" s="209"/>
      <c r="G469" s="209"/>
      <c r="H469" s="209"/>
      <c r="I469" s="209"/>
      <c r="J469" s="209"/>
      <c r="K469" s="191"/>
      <c r="L469" s="363"/>
      <c r="M469" s="366"/>
      <c r="N469" s="366"/>
      <c r="O469" s="365"/>
      <c r="P469" s="365"/>
      <c r="Q469" s="192"/>
      <c r="S469" s="209"/>
      <c r="T469" s="209"/>
      <c r="U469" s="192"/>
      <c r="Z469" s="60"/>
      <c r="AA469" s="60"/>
      <c r="AB469" s="60"/>
      <c r="AC469" s="60"/>
      <c r="AD469" s="60"/>
      <c r="AE469" s="60"/>
      <c r="AF469" s="60"/>
      <c r="AG469" s="60"/>
      <c r="AH469" s="60"/>
      <c r="AI469" s="60"/>
      <c r="AJ469" s="60"/>
      <c r="AR469" s="60"/>
      <c r="AS469" s="60"/>
      <c r="AT469" s="60"/>
      <c r="AU469" s="60"/>
      <c r="AV469" s="60"/>
      <c r="AW469" s="60"/>
      <c r="AX469" s="60"/>
      <c r="AY469" s="60"/>
    </row>
    <row r="470" spans="2:51" s="59" customFormat="1">
      <c r="B470" s="203"/>
      <c r="D470" s="186"/>
      <c r="F470" s="209"/>
      <c r="G470" s="209"/>
      <c r="H470" s="209"/>
      <c r="I470" s="209"/>
      <c r="J470" s="209"/>
      <c r="K470" s="191"/>
      <c r="L470" s="363"/>
      <c r="M470" s="366"/>
      <c r="N470" s="366"/>
      <c r="O470" s="365"/>
      <c r="P470" s="365"/>
      <c r="Q470" s="192"/>
      <c r="S470" s="209"/>
      <c r="T470" s="209"/>
      <c r="U470" s="192"/>
      <c r="Z470" s="60"/>
      <c r="AA470" s="60"/>
      <c r="AB470" s="60"/>
      <c r="AC470" s="60"/>
      <c r="AD470" s="60"/>
      <c r="AE470" s="60"/>
      <c r="AF470" s="60"/>
      <c r="AG470" s="60"/>
      <c r="AH470" s="60"/>
      <c r="AI470" s="60"/>
      <c r="AJ470" s="60"/>
      <c r="AR470" s="60"/>
      <c r="AS470" s="60"/>
      <c r="AT470" s="60"/>
      <c r="AU470" s="60"/>
      <c r="AV470" s="60"/>
      <c r="AW470" s="60"/>
      <c r="AX470" s="60"/>
      <c r="AY470" s="60"/>
    </row>
    <row r="471" spans="2:51" s="59" customFormat="1">
      <c r="B471" s="203"/>
      <c r="D471" s="186"/>
      <c r="F471" s="209"/>
      <c r="G471" s="209"/>
      <c r="H471" s="209"/>
      <c r="I471" s="209"/>
      <c r="J471" s="209"/>
      <c r="K471" s="191"/>
      <c r="L471" s="363"/>
      <c r="M471" s="366"/>
      <c r="N471" s="366"/>
      <c r="O471" s="365"/>
      <c r="P471" s="365"/>
      <c r="Q471" s="192"/>
      <c r="S471" s="209"/>
      <c r="T471" s="209"/>
      <c r="U471" s="192"/>
      <c r="Z471" s="60"/>
      <c r="AA471" s="60"/>
      <c r="AB471" s="60"/>
      <c r="AC471" s="60"/>
      <c r="AD471" s="60"/>
      <c r="AE471" s="60"/>
      <c r="AF471" s="60"/>
      <c r="AG471" s="60"/>
      <c r="AH471" s="60"/>
      <c r="AI471" s="60"/>
      <c r="AJ471" s="60"/>
      <c r="AR471" s="60"/>
      <c r="AS471" s="60"/>
      <c r="AT471" s="60"/>
      <c r="AU471" s="60"/>
      <c r="AV471" s="60"/>
      <c r="AW471" s="60"/>
      <c r="AX471" s="60"/>
      <c r="AY471" s="60"/>
    </row>
    <row r="472" spans="2:51" s="59" customFormat="1">
      <c r="B472" s="203"/>
      <c r="D472" s="186"/>
      <c r="F472" s="209"/>
      <c r="G472" s="209"/>
      <c r="H472" s="209"/>
      <c r="I472" s="209"/>
      <c r="J472" s="209"/>
      <c r="K472" s="191"/>
      <c r="L472" s="363"/>
      <c r="M472" s="366"/>
      <c r="N472" s="366"/>
      <c r="O472" s="365"/>
      <c r="P472" s="365"/>
      <c r="Q472" s="192"/>
      <c r="S472" s="209"/>
      <c r="T472" s="209"/>
      <c r="U472" s="192"/>
      <c r="Z472" s="60"/>
      <c r="AA472" s="60"/>
      <c r="AB472" s="60"/>
      <c r="AC472" s="60"/>
      <c r="AD472" s="60"/>
      <c r="AE472" s="60"/>
      <c r="AF472" s="60"/>
      <c r="AG472" s="60"/>
      <c r="AH472" s="60"/>
      <c r="AI472" s="60"/>
      <c r="AJ472" s="60"/>
      <c r="AR472" s="60"/>
      <c r="AS472" s="60"/>
      <c r="AT472" s="60"/>
      <c r="AU472" s="60"/>
      <c r="AV472" s="60"/>
      <c r="AW472" s="60"/>
      <c r="AX472" s="60"/>
      <c r="AY472" s="60"/>
    </row>
    <row r="473" spans="2:51" s="59" customFormat="1">
      <c r="B473" s="203"/>
      <c r="D473" s="186"/>
      <c r="F473" s="209"/>
      <c r="G473" s="209"/>
      <c r="H473" s="209"/>
      <c r="I473" s="209"/>
      <c r="J473" s="209"/>
      <c r="K473" s="191"/>
      <c r="L473" s="363"/>
      <c r="M473" s="366"/>
      <c r="N473" s="366"/>
      <c r="O473" s="365"/>
      <c r="P473" s="365"/>
      <c r="Q473" s="192"/>
      <c r="S473" s="209"/>
      <c r="T473" s="209"/>
      <c r="U473" s="192"/>
      <c r="Z473" s="60"/>
      <c r="AA473" s="60"/>
      <c r="AB473" s="60"/>
      <c r="AC473" s="60"/>
      <c r="AD473" s="60"/>
      <c r="AE473" s="60"/>
      <c r="AF473" s="60"/>
      <c r="AG473" s="60"/>
      <c r="AH473" s="60"/>
      <c r="AI473" s="60"/>
      <c r="AJ473" s="60"/>
      <c r="AR473" s="60"/>
      <c r="AS473" s="60"/>
      <c r="AT473" s="60"/>
      <c r="AU473" s="60"/>
      <c r="AV473" s="60"/>
      <c r="AW473" s="60"/>
      <c r="AX473" s="60"/>
      <c r="AY473" s="60"/>
    </row>
    <row r="474" spans="2:51" s="59" customFormat="1">
      <c r="B474" s="203"/>
      <c r="D474" s="186"/>
      <c r="F474" s="209"/>
      <c r="G474" s="209"/>
      <c r="H474" s="209"/>
      <c r="I474" s="209"/>
      <c r="J474" s="209"/>
      <c r="K474" s="191"/>
      <c r="L474" s="363"/>
      <c r="M474" s="366"/>
      <c r="N474" s="366"/>
      <c r="O474" s="365"/>
      <c r="P474" s="365"/>
      <c r="Q474" s="192"/>
      <c r="S474" s="209"/>
      <c r="T474" s="209"/>
      <c r="U474" s="192"/>
      <c r="Z474" s="60"/>
      <c r="AA474" s="60"/>
      <c r="AB474" s="60"/>
      <c r="AC474" s="60"/>
      <c r="AD474" s="60"/>
      <c r="AE474" s="60"/>
      <c r="AF474" s="60"/>
      <c r="AG474" s="60"/>
      <c r="AH474" s="60"/>
      <c r="AI474" s="60"/>
      <c r="AJ474" s="60"/>
      <c r="AR474" s="60"/>
      <c r="AS474" s="60"/>
      <c r="AT474" s="60"/>
      <c r="AU474" s="60"/>
      <c r="AV474" s="60"/>
      <c r="AW474" s="60"/>
      <c r="AX474" s="60"/>
      <c r="AY474" s="60"/>
    </row>
    <row r="475" spans="2:51" s="59" customFormat="1">
      <c r="B475" s="203"/>
      <c r="D475" s="186"/>
      <c r="F475" s="209"/>
      <c r="G475" s="209"/>
      <c r="H475" s="209"/>
      <c r="I475" s="209"/>
      <c r="J475" s="209"/>
      <c r="K475" s="191"/>
      <c r="L475" s="363"/>
      <c r="M475" s="366"/>
      <c r="N475" s="366"/>
      <c r="O475" s="365"/>
      <c r="P475" s="365"/>
      <c r="Q475" s="192"/>
      <c r="S475" s="209"/>
      <c r="T475" s="209"/>
      <c r="U475" s="192"/>
      <c r="Z475" s="60"/>
      <c r="AA475" s="60"/>
      <c r="AB475" s="60"/>
      <c r="AC475" s="60"/>
      <c r="AD475" s="60"/>
      <c r="AE475" s="60"/>
      <c r="AF475" s="60"/>
      <c r="AG475" s="60"/>
      <c r="AH475" s="60"/>
      <c r="AI475" s="60"/>
      <c r="AJ475" s="60"/>
      <c r="AR475" s="60"/>
      <c r="AS475" s="60"/>
      <c r="AT475" s="60"/>
      <c r="AU475" s="60"/>
      <c r="AV475" s="60"/>
      <c r="AW475" s="60"/>
      <c r="AX475" s="60"/>
      <c r="AY475" s="60"/>
    </row>
    <row r="476" spans="2:51" s="59" customFormat="1">
      <c r="B476" s="203"/>
      <c r="D476" s="186"/>
      <c r="F476" s="209"/>
      <c r="G476" s="209"/>
      <c r="H476" s="209"/>
      <c r="I476" s="209"/>
      <c r="J476" s="209"/>
      <c r="K476" s="191"/>
      <c r="L476" s="363"/>
      <c r="M476" s="366"/>
      <c r="N476" s="366"/>
      <c r="O476" s="365"/>
      <c r="P476" s="365"/>
      <c r="Q476" s="192"/>
      <c r="S476" s="209"/>
      <c r="T476" s="209"/>
      <c r="U476" s="192"/>
      <c r="Z476" s="60"/>
      <c r="AA476" s="60"/>
      <c r="AB476" s="60"/>
      <c r="AC476" s="60"/>
      <c r="AD476" s="60"/>
      <c r="AE476" s="60"/>
      <c r="AF476" s="60"/>
      <c r="AG476" s="60"/>
      <c r="AH476" s="60"/>
      <c r="AI476" s="60"/>
      <c r="AJ476" s="60"/>
      <c r="AR476" s="60"/>
      <c r="AS476" s="60"/>
      <c r="AT476" s="60"/>
      <c r="AU476" s="60"/>
      <c r="AV476" s="60"/>
      <c r="AW476" s="60"/>
      <c r="AX476" s="60"/>
      <c r="AY476" s="60"/>
    </row>
    <row r="477" spans="2:51" s="59" customFormat="1">
      <c r="B477" s="203"/>
      <c r="D477" s="186"/>
      <c r="F477" s="209"/>
      <c r="G477" s="209"/>
      <c r="H477" s="209"/>
      <c r="I477" s="209"/>
      <c r="J477" s="209"/>
      <c r="K477" s="191"/>
      <c r="L477" s="363"/>
      <c r="M477" s="366"/>
      <c r="N477" s="366"/>
      <c r="O477" s="365"/>
      <c r="P477" s="365"/>
      <c r="Q477" s="192"/>
      <c r="S477" s="209"/>
      <c r="T477" s="209"/>
      <c r="U477" s="192"/>
      <c r="Z477" s="60"/>
      <c r="AA477" s="60"/>
      <c r="AB477" s="60"/>
      <c r="AC477" s="60"/>
      <c r="AD477" s="60"/>
      <c r="AE477" s="60"/>
      <c r="AF477" s="60"/>
      <c r="AG477" s="60"/>
      <c r="AH477" s="60"/>
      <c r="AI477" s="60"/>
      <c r="AJ477" s="60"/>
      <c r="AR477" s="60"/>
      <c r="AS477" s="60"/>
      <c r="AT477" s="60"/>
      <c r="AU477" s="60"/>
      <c r="AV477" s="60"/>
      <c r="AW477" s="60"/>
      <c r="AX477" s="60"/>
      <c r="AY477" s="60"/>
    </row>
    <row r="478" spans="2:51" s="59" customFormat="1">
      <c r="B478" s="203"/>
      <c r="D478" s="186"/>
      <c r="F478" s="209"/>
      <c r="G478" s="209"/>
      <c r="H478" s="209"/>
      <c r="I478" s="209"/>
      <c r="J478" s="209"/>
      <c r="K478" s="191"/>
      <c r="L478" s="363"/>
      <c r="M478" s="366"/>
      <c r="N478" s="366"/>
      <c r="O478" s="365"/>
      <c r="P478" s="365"/>
      <c r="Q478" s="192"/>
      <c r="S478" s="209"/>
      <c r="T478" s="209"/>
      <c r="U478" s="192"/>
      <c r="Z478" s="60"/>
      <c r="AA478" s="60"/>
      <c r="AB478" s="60"/>
      <c r="AC478" s="60"/>
      <c r="AD478" s="60"/>
      <c r="AE478" s="60"/>
      <c r="AF478" s="60"/>
      <c r="AG478" s="60"/>
      <c r="AH478" s="60"/>
      <c r="AI478" s="60"/>
      <c r="AJ478" s="60"/>
      <c r="AR478" s="60"/>
      <c r="AS478" s="60"/>
      <c r="AT478" s="60"/>
      <c r="AU478" s="60"/>
      <c r="AV478" s="60"/>
      <c r="AW478" s="60"/>
      <c r="AX478" s="60"/>
      <c r="AY478" s="60"/>
    </row>
    <row r="479" spans="2:51" s="59" customFormat="1">
      <c r="B479" s="203"/>
      <c r="D479" s="186"/>
      <c r="F479" s="209"/>
      <c r="G479" s="209"/>
      <c r="H479" s="209"/>
      <c r="I479" s="209"/>
      <c r="J479" s="209"/>
      <c r="K479" s="191"/>
      <c r="L479" s="363"/>
      <c r="M479" s="366"/>
      <c r="N479" s="366"/>
      <c r="O479" s="365"/>
      <c r="P479" s="365"/>
      <c r="Q479" s="192"/>
      <c r="S479" s="209"/>
      <c r="T479" s="209"/>
      <c r="U479" s="192"/>
      <c r="Z479" s="60"/>
      <c r="AA479" s="60"/>
      <c r="AB479" s="60"/>
      <c r="AC479" s="60"/>
      <c r="AD479" s="60"/>
      <c r="AE479" s="60"/>
      <c r="AF479" s="60"/>
      <c r="AG479" s="60"/>
      <c r="AH479" s="60"/>
      <c r="AI479" s="60"/>
      <c r="AJ479" s="60"/>
      <c r="AR479" s="60"/>
      <c r="AS479" s="60"/>
      <c r="AT479" s="60"/>
      <c r="AU479" s="60"/>
      <c r="AV479" s="60"/>
      <c r="AW479" s="60"/>
      <c r="AX479" s="60"/>
      <c r="AY479" s="60"/>
    </row>
    <row r="480" spans="2:51" s="59" customFormat="1">
      <c r="B480" s="203"/>
      <c r="D480" s="186"/>
      <c r="F480" s="209"/>
      <c r="G480" s="209"/>
      <c r="H480" s="209"/>
      <c r="I480" s="209"/>
      <c r="J480" s="209"/>
      <c r="K480" s="191"/>
      <c r="L480" s="363"/>
      <c r="M480" s="366"/>
      <c r="N480" s="366"/>
      <c r="O480" s="365"/>
      <c r="P480" s="365"/>
      <c r="Q480" s="192"/>
      <c r="S480" s="209"/>
      <c r="T480" s="209"/>
      <c r="U480" s="192"/>
      <c r="Z480" s="60"/>
      <c r="AA480" s="60"/>
      <c r="AB480" s="60"/>
      <c r="AC480" s="60"/>
      <c r="AD480" s="60"/>
      <c r="AE480" s="60"/>
      <c r="AF480" s="60"/>
      <c r="AG480" s="60"/>
      <c r="AH480" s="60"/>
      <c r="AI480" s="60"/>
      <c r="AJ480" s="60"/>
      <c r="AR480" s="60"/>
      <c r="AS480" s="60"/>
      <c r="AT480" s="60"/>
      <c r="AU480" s="60"/>
      <c r="AV480" s="60"/>
      <c r="AW480" s="60"/>
      <c r="AX480" s="60"/>
      <c r="AY480" s="60"/>
    </row>
    <row r="481" spans="2:51" s="59" customFormat="1">
      <c r="B481" s="203"/>
      <c r="D481" s="186"/>
      <c r="F481" s="209"/>
      <c r="G481" s="209"/>
      <c r="H481" s="209"/>
      <c r="I481" s="209"/>
      <c r="J481" s="209"/>
      <c r="K481" s="191"/>
      <c r="L481" s="363"/>
      <c r="M481" s="366"/>
      <c r="N481" s="366"/>
      <c r="O481" s="365"/>
      <c r="P481" s="365"/>
      <c r="Q481" s="192"/>
      <c r="S481" s="209"/>
      <c r="T481" s="209"/>
      <c r="U481" s="192"/>
      <c r="Z481" s="60"/>
      <c r="AA481" s="60"/>
      <c r="AB481" s="60"/>
      <c r="AC481" s="60"/>
      <c r="AD481" s="60"/>
      <c r="AE481" s="60"/>
      <c r="AF481" s="60"/>
      <c r="AG481" s="60"/>
      <c r="AH481" s="60"/>
      <c r="AI481" s="60"/>
      <c r="AJ481" s="60"/>
      <c r="AR481" s="60"/>
      <c r="AS481" s="60"/>
      <c r="AT481" s="60"/>
      <c r="AU481" s="60"/>
      <c r="AV481" s="60"/>
      <c r="AW481" s="60"/>
      <c r="AX481" s="60"/>
      <c r="AY481" s="60"/>
    </row>
    <row r="482" spans="2:51" s="59" customFormat="1">
      <c r="B482" s="203"/>
      <c r="D482" s="186"/>
      <c r="F482" s="209"/>
      <c r="G482" s="209"/>
      <c r="H482" s="209"/>
      <c r="I482" s="209"/>
      <c r="J482" s="209"/>
      <c r="K482" s="191"/>
      <c r="L482" s="363"/>
      <c r="M482" s="366"/>
      <c r="N482" s="366"/>
      <c r="O482" s="365"/>
      <c r="P482" s="365"/>
      <c r="Q482" s="192"/>
      <c r="S482" s="209"/>
      <c r="T482" s="209"/>
      <c r="U482" s="192"/>
      <c r="Z482" s="60"/>
      <c r="AA482" s="60"/>
      <c r="AB482" s="60"/>
      <c r="AC482" s="60"/>
      <c r="AD482" s="60"/>
      <c r="AE482" s="60"/>
      <c r="AF482" s="60"/>
      <c r="AG482" s="60"/>
      <c r="AH482" s="60"/>
      <c r="AI482" s="60"/>
      <c r="AJ482" s="60"/>
      <c r="AR482" s="60"/>
      <c r="AS482" s="60"/>
      <c r="AT482" s="60"/>
      <c r="AU482" s="60"/>
      <c r="AV482" s="60"/>
      <c r="AW482" s="60"/>
      <c r="AX482" s="60"/>
      <c r="AY482" s="60"/>
    </row>
    <row r="483" spans="2:51" s="59" customFormat="1">
      <c r="B483" s="203"/>
      <c r="D483" s="186"/>
      <c r="F483" s="209"/>
      <c r="G483" s="209"/>
      <c r="H483" s="209"/>
      <c r="I483" s="209"/>
      <c r="J483" s="209"/>
      <c r="K483" s="191"/>
      <c r="L483" s="363"/>
      <c r="M483" s="366"/>
      <c r="N483" s="366"/>
      <c r="O483" s="365"/>
      <c r="P483" s="365"/>
      <c r="Q483" s="192"/>
      <c r="S483" s="209"/>
      <c r="T483" s="209"/>
      <c r="U483" s="192"/>
      <c r="Z483" s="60"/>
      <c r="AA483" s="60"/>
      <c r="AB483" s="60"/>
      <c r="AC483" s="60"/>
      <c r="AD483" s="60"/>
      <c r="AE483" s="60"/>
      <c r="AF483" s="60"/>
      <c r="AG483" s="60"/>
      <c r="AH483" s="60"/>
      <c r="AI483" s="60"/>
      <c r="AJ483" s="60"/>
      <c r="AR483" s="60"/>
      <c r="AS483" s="60"/>
      <c r="AT483" s="60"/>
      <c r="AU483" s="60"/>
      <c r="AV483" s="60"/>
      <c r="AW483" s="60"/>
      <c r="AX483" s="60"/>
      <c r="AY483" s="60"/>
    </row>
    <row r="484" spans="2:51" s="59" customFormat="1">
      <c r="B484" s="203"/>
      <c r="D484" s="186"/>
      <c r="F484" s="209"/>
      <c r="G484" s="209"/>
      <c r="H484" s="209"/>
      <c r="I484" s="209"/>
      <c r="J484" s="209"/>
      <c r="K484" s="191"/>
      <c r="L484" s="363"/>
      <c r="M484" s="366"/>
      <c r="N484" s="366"/>
      <c r="O484" s="365"/>
      <c r="P484" s="365"/>
      <c r="Q484" s="192"/>
      <c r="S484" s="209"/>
      <c r="T484" s="209"/>
      <c r="U484" s="192"/>
      <c r="Z484" s="60"/>
      <c r="AA484" s="60"/>
      <c r="AB484" s="60"/>
      <c r="AC484" s="60"/>
      <c r="AD484" s="60"/>
      <c r="AE484" s="60"/>
      <c r="AF484" s="60"/>
      <c r="AG484" s="60"/>
      <c r="AH484" s="60"/>
      <c r="AI484" s="60"/>
      <c r="AJ484" s="60"/>
      <c r="AR484" s="60"/>
      <c r="AS484" s="60"/>
      <c r="AT484" s="60"/>
      <c r="AU484" s="60"/>
      <c r="AV484" s="60"/>
      <c r="AW484" s="60"/>
      <c r="AX484" s="60"/>
      <c r="AY484" s="60"/>
    </row>
    <row r="485" spans="2:51" s="59" customFormat="1">
      <c r="B485" s="203"/>
      <c r="D485" s="186"/>
      <c r="F485" s="209"/>
      <c r="G485" s="209"/>
      <c r="H485" s="209"/>
      <c r="I485" s="209"/>
      <c r="J485" s="209"/>
      <c r="K485" s="191"/>
      <c r="L485" s="363"/>
      <c r="M485" s="366"/>
      <c r="N485" s="366"/>
      <c r="O485" s="365"/>
      <c r="P485" s="365"/>
      <c r="Q485" s="192"/>
      <c r="S485" s="209"/>
      <c r="T485" s="209"/>
      <c r="U485" s="192"/>
      <c r="Z485" s="60"/>
      <c r="AA485" s="60"/>
      <c r="AB485" s="60"/>
      <c r="AC485" s="60"/>
      <c r="AD485" s="60"/>
      <c r="AE485" s="60"/>
      <c r="AF485" s="60"/>
      <c r="AG485" s="60"/>
      <c r="AH485" s="60"/>
      <c r="AI485" s="60"/>
      <c r="AJ485" s="60"/>
      <c r="AR485" s="60"/>
      <c r="AS485" s="60"/>
      <c r="AT485" s="60"/>
      <c r="AU485" s="60"/>
      <c r="AV485" s="60"/>
      <c r="AW485" s="60"/>
      <c r="AX485" s="60"/>
      <c r="AY485" s="60"/>
    </row>
    <row r="486" spans="2:51" s="59" customFormat="1">
      <c r="B486" s="203"/>
      <c r="D486" s="186"/>
      <c r="F486" s="209"/>
      <c r="G486" s="209"/>
      <c r="H486" s="209"/>
      <c r="I486" s="209"/>
      <c r="J486" s="209"/>
      <c r="K486" s="191"/>
      <c r="L486" s="363"/>
      <c r="M486" s="366"/>
      <c r="N486" s="366"/>
      <c r="O486" s="365"/>
      <c r="P486" s="365"/>
      <c r="Q486" s="192"/>
      <c r="S486" s="209"/>
      <c r="T486" s="209"/>
      <c r="U486" s="192"/>
      <c r="Z486" s="60"/>
      <c r="AA486" s="60"/>
      <c r="AB486" s="60"/>
      <c r="AC486" s="60"/>
      <c r="AD486" s="60"/>
      <c r="AE486" s="60"/>
      <c r="AF486" s="60"/>
      <c r="AG486" s="60"/>
      <c r="AH486" s="60"/>
      <c r="AI486" s="60"/>
      <c r="AJ486" s="60"/>
      <c r="AR486" s="60"/>
      <c r="AS486" s="60"/>
      <c r="AT486" s="60"/>
      <c r="AU486" s="60"/>
      <c r="AV486" s="60"/>
      <c r="AW486" s="60"/>
      <c r="AX486" s="60"/>
      <c r="AY486" s="60"/>
    </row>
    <row r="487" spans="2:51" s="59" customFormat="1">
      <c r="B487" s="203"/>
      <c r="D487" s="186"/>
      <c r="F487" s="209"/>
      <c r="G487" s="209"/>
      <c r="H487" s="209"/>
      <c r="I487" s="209"/>
      <c r="J487" s="209"/>
      <c r="K487" s="191"/>
      <c r="L487" s="363"/>
      <c r="M487" s="366"/>
      <c r="N487" s="366"/>
      <c r="O487" s="365"/>
      <c r="P487" s="365"/>
      <c r="Q487" s="192"/>
      <c r="S487" s="209"/>
      <c r="T487" s="209"/>
      <c r="U487" s="192"/>
      <c r="Z487" s="60"/>
      <c r="AA487" s="60"/>
      <c r="AB487" s="60"/>
      <c r="AC487" s="60"/>
      <c r="AD487" s="60"/>
      <c r="AE487" s="60"/>
      <c r="AF487" s="60"/>
      <c r="AG487" s="60"/>
      <c r="AH487" s="60"/>
      <c r="AI487" s="60"/>
      <c r="AJ487" s="60"/>
      <c r="AR487" s="60"/>
      <c r="AS487" s="60"/>
      <c r="AT487" s="60"/>
      <c r="AU487" s="60"/>
      <c r="AV487" s="60"/>
      <c r="AW487" s="60"/>
      <c r="AX487" s="60"/>
      <c r="AY487" s="60"/>
    </row>
    <row r="488" spans="2:51" s="59" customFormat="1">
      <c r="B488" s="203"/>
      <c r="D488" s="186"/>
      <c r="F488" s="209"/>
      <c r="G488" s="209"/>
      <c r="H488" s="209"/>
      <c r="I488" s="209"/>
      <c r="J488" s="209"/>
      <c r="K488" s="191"/>
      <c r="L488" s="363"/>
      <c r="M488" s="366"/>
      <c r="N488" s="366"/>
      <c r="O488" s="365"/>
      <c r="P488" s="365"/>
      <c r="Q488" s="192"/>
      <c r="S488" s="209"/>
      <c r="T488" s="209"/>
      <c r="U488" s="192"/>
      <c r="Z488" s="60"/>
      <c r="AA488" s="60"/>
      <c r="AB488" s="60"/>
      <c r="AC488" s="60"/>
      <c r="AD488" s="60"/>
      <c r="AE488" s="60"/>
      <c r="AF488" s="60"/>
      <c r="AG488" s="60"/>
      <c r="AH488" s="60"/>
      <c r="AI488" s="60"/>
      <c r="AJ488" s="60"/>
      <c r="AR488" s="60"/>
      <c r="AS488" s="60"/>
      <c r="AT488" s="60"/>
      <c r="AU488" s="60"/>
      <c r="AV488" s="60"/>
      <c r="AW488" s="60"/>
      <c r="AX488" s="60"/>
      <c r="AY488" s="60"/>
    </row>
    <row r="489" spans="2:51" s="59" customFormat="1">
      <c r="B489" s="203"/>
      <c r="D489" s="186"/>
      <c r="F489" s="209"/>
      <c r="G489" s="209"/>
      <c r="H489" s="209"/>
      <c r="I489" s="209"/>
      <c r="J489" s="209"/>
      <c r="K489" s="191"/>
      <c r="L489" s="363"/>
      <c r="M489" s="366"/>
      <c r="N489" s="366"/>
      <c r="O489" s="365"/>
      <c r="P489" s="365"/>
      <c r="Q489" s="192"/>
      <c r="S489" s="209"/>
      <c r="T489" s="209"/>
      <c r="U489" s="192"/>
      <c r="Z489" s="60"/>
      <c r="AA489" s="60"/>
      <c r="AB489" s="60"/>
      <c r="AC489" s="60"/>
      <c r="AD489" s="60"/>
      <c r="AE489" s="60"/>
      <c r="AF489" s="60"/>
      <c r="AG489" s="60"/>
      <c r="AH489" s="60"/>
      <c r="AI489" s="60"/>
      <c r="AJ489" s="60"/>
      <c r="AR489" s="60"/>
      <c r="AS489" s="60"/>
      <c r="AT489" s="60"/>
      <c r="AU489" s="60"/>
      <c r="AV489" s="60"/>
      <c r="AW489" s="60"/>
      <c r="AX489" s="60"/>
      <c r="AY489" s="60"/>
    </row>
    <row r="490" spans="2:51" s="59" customFormat="1">
      <c r="B490" s="203"/>
      <c r="D490" s="186"/>
      <c r="F490" s="209"/>
      <c r="G490" s="209"/>
      <c r="H490" s="209"/>
      <c r="I490" s="209"/>
      <c r="J490" s="209"/>
      <c r="K490" s="191"/>
      <c r="L490" s="363"/>
      <c r="M490" s="366"/>
      <c r="N490" s="366"/>
      <c r="O490" s="365"/>
      <c r="P490" s="365"/>
      <c r="Q490" s="192"/>
      <c r="S490" s="209"/>
      <c r="T490" s="209"/>
      <c r="U490" s="192"/>
      <c r="Z490" s="60"/>
      <c r="AA490" s="60"/>
      <c r="AB490" s="60"/>
      <c r="AC490" s="60"/>
      <c r="AD490" s="60"/>
      <c r="AE490" s="60"/>
      <c r="AF490" s="60"/>
      <c r="AG490" s="60"/>
      <c r="AH490" s="60"/>
      <c r="AI490" s="60"/>
      <c r="AJ490" s="60"/>
      <c r="AR490" s="60"/>
      <c r="AS490" s="60"/>
      <c r="AT490" s="60"/>
      <c r="AU490" s="60"/>
      <c r="AV490" s="60"/>
      <c r="AW490" s="60"/>
      <c r="AX490" s="60"/>
      <c r="AY490" s="60"/>
    </row>
    <row r="491" spans="2:51" s="59" customFormat="1">
      <c r="B491" s="203"/>
      <c r="D491" s="186"/>
      <c r="F491" s="209"/>
      <c r="G491" s="209"/>
      <c r="H491" s="209"/>
      <c r="I491" s="209"/>
      <c r="J491" s="209"/>
      <c r="K491" s="191"/>
      <c r="L491" s="363"/>
      <c r="M491" s="366"/>
      <c r="N491" s="366"/>
      <c r="O491" s="365"/>
      <c r="P491" s="365"/>
      <c r="Q491" s="192"/>
      <c r="S491" s="209"/>
      <c r="T491" s="209"/>
      <c r="U491" s="192"/>
      <c r="Z491" s="60"/>
      <c r="AA491" s="60"/>
      <c r="AB491" s="60"/>
      <c r="AC491" s="60"/>
      <c r="AD491" s="60"/>
      <c r="AE491" s="60"/>
      <c r="AF491" s="60"/>
      <c r="AG491" s="60"/>
      <c r="AH491" s="60"/>
      <c r="AI491" s="60"/>
      <c r="AJ491" s="60"/>
      <c r="AR491" s="60"/>
      <c r="AS491" s="60"/>
      <c r="AT491" s="60"/>
      <c r="AU491" s="60"/>
      <c r="AV491" s="60"/>
      <c r="AW491" s="60"/>
      <c r="AX491" s="60"/>
      <c r="AY491" s="60"/>
    </row>
    <row r="492" spans="2:51" s="59" customFormat="1">
      <c r="B492" s="203"/>
      <c r="D492" s="186"/>
      <c r="F492" s="209"/>
      <c r="G492" s="209"/>
      <c r="H492" s="209"/>
      <c r="I492" s="209"/>
      <c r="J492" s="209"/>
      <c r="K492" s="191"/>
      <c r="L492" s="363"/>
      <c r="M492" s="366"/>
      <c r="N492" s="366"/>
      <c r="O492" s="365"/>
      <c r="P492" s="365"/>
      <c r="Q492" s="192"/>
      <c r="S492" s="209"/>
      <c r="T492" s="209"/>
      <c r="U492" s="192"/>
      <c r="Z492" s="60"/>
      <c r="AA492" s="60"/>
      <c r="AB492" s="60"/>
      <c r="AC492" s="60"/>
      <c r="AD492" s="60"/>
      <c r="AE492" s="60"/>
      <c r="AF492" s="60"/>
      <c r="AG492" s="60"/>
      <c r="AH492" s="60"/>
      <c r="AI492" s="60"/>
      <c r="AJ492" s="60"/>
      <c r="AR492" s="60"/>
      <c r="AS492" s="60"/>
      <c r="AT492" s="60"/>
      <c r="AU492" s="60"/>
      <c r="AV492" s="60"/>
      <c r="AW492" s="60"/>
      <c r="AX492" s="60"/>
      <c r="AY492" s="60"/>
    </row>
    <row r="493" spans="2:51" s="59" customFormat="1">
      <c r="B493" s="203"/>
      <c r="D493" s="186"/>
      <c r="F493" s="209"/>
      <c r="G493" s="209"/>
      <c r="H493" s="209"/>
      <c r="I493" s="209"/>
      <c r="J493" s="209"/>
      <c r="K493" s="191"/>
      <c r="L493" s="363"/>
      <c r="M493" s="366"/>
      <c r="N493" s="366"/>
      <c r="O493" s="365"/>
      <c r="P493" s="365"/>
      <c r="Q493" s="192"/>
      <c r="S493" s="209"/>
      <c r="T493" s="209"/>
      <c r="U493" s="192"/>
      <c r="Z493" s="60"/>
      <c r="AA493" s="60"/>
      <c r="AB493" s="60"/>
      <c r="AC493" s="60"/>
      <c r="AD493" s="60"/>
      <c r="AE493" s="60"/>
      <c r="AF493" s="60"/>
      <c r="AG493" s="60"/>
      <c r="AH493" s="60"/>
      <c r="AI493" s="60"/>
      <c r="AJ493" s="60"/>
      <c r="AR493" s="60"/>
      <c r="AS493" s="60"/>
      <c r="AT493" s="60"/>
      <c r="AU493" s="60"/>
      <c r="AV493" s="60"/>
      <c r="AW493" s="60"/>
      <c r="AX493" s="60"/>
      <c r="AY493" s="60"/>
    </row>
    <row r="494" spans="2:51" s="59" customFormat="1">
      <c r="B494" s="203"/>
      <c r="D494" s="186"/>
      <c r="F494" s="209"/>
      <c r="G494" s="209"/>
      <c r="H494" s="209"/>
      <c r="I494" s="209"/>
      <c r="J494" s="209"/>
      <c r="K494" s="191"/>
      <c r="L494" s="363"/>
      <c r="M494" s="366"/>
      <c r="N494" s="366"/>
      <c r="O494" s="365"/>
      <c r="P494" s="365"/>
      <c r="Q494" s="192"/>
      <c r="S494" s="209"/>
      <c r="T494" s="209"/>
      <c r="U494" s="192"/>
      <c r="Z494" s="60"/>
      <c r="AA494" s="60"/>
      <c r="AB494" s="60"/>
      <c r="AC494" s="60"/>
      <c r="AD494" s="60"/>
      <c r="AE494" s="60"/>
      <c r="AF494" s="60"/>
      <c r="AG494" s="60"/>
      <c r="AH494" s="60"/>
      <c r="AI494" s="60"/>
      <c r="AJ494" s="60"/>
      <c r="AR494" s="60"/>
      <c r="AS494" s="60"/>
      <c r="AT494" s="60"/>
      <c r="AU494" s="60"/>
      <c r="AV494" s="60"/>
      <c r="AW494" s="60"/>
      <c r="AX494" s="60"/>
      <c r="AY494" s="60"/>
    </row>
    <row r="495" spans="2:51" s="59" customFormat="1">
      <c r="B495" s="203"/>
      <c r="D495" s="186"/>
      <c r="F495" s="209"/>
      <c r="G495" s="209"/>
      <c r="H495" s="209"/>
      <c r="I495" s="209"/>
      <c r="J495" s="209"/>
      <c r="K495" s="191"/>
      <c r="L495" s="363"/>
      <c r="M495" s="366"/>
      <c r="N495" s="366"/>
      <c r="O495" s="365"/>
      <c r="P495" s="365"/>
      <c r="Q495" s="192"/>
      <c r="S495" s="209"/>
      <c r="T495" s="209"/>
      <c r="U495" s="192"/>
      <c r="Z495" s="60"/>
      <c r="AA495" s="60"/>
      <c r="AB495" s="60"/>
      <c r="AC495" s="60"/>
      <c r="AD495" s="60"/>
      <c r="AE495" s="60"/>
      <c r="AF495" s="60"/>
      <c r="AG495" s="60"/>
      <c r="AH495" s="60"/>
      <c r="AI495" s="60"/>
      <c r="AJ495" s="60"/>
      <c r="AR495" s="60"/>
      <c r="AS495" s="60"/>
      <c r="AT495" s="60"/>
      <c r="AU495" s="60"/>
      <c r="AV495" s="60"/>
      <c r="AW495" s="60"/>
      <c r="AX495" s="60"/>
      <c r="AY495" s="60"/>
    </row>
    <row r="496" spans="2:51" s="59" customFormat="1">
      <c r="B496" s="203"/>
      <c r="D496" s="186"/>
      <c r="F496" s="209"/>
      <c r="G496" s="209"/>
      <c r="H496" s="209"/>
      <c r="I496" s="209"/>
      <c r="J496" s="209"/>
      <c r="K496" s="191"/>
      <c r="L496" s="363"/>
      <c r="M496" s="366"/>
      <c r="N496" s="366"/>
      <c r="O496" s="365"/>
      <c r="P496" s="365"/>
      <c r="Q496" s="192"/>
      <c r="S496" s="209"/>
      <c r="T496" s="209"/>
      <c r="U496" s="192"/>
      <c r="Z496" s="60"/>
      <c r="AA496" s="60"/>
      <c r="AB496" s="60"/>
      <c r="AC496" s="60"/>
      <c r="AD496" s="60"/>
      <c r="AE496" s="60"/>
      <c r="AF496" s="60"/>
      <c r="AG496" s="60"/>
      <c r="AH496" s="60"/>
      <c r="AI496" s="60"/>
      <c r="AJ496" s="60"/>
      <c r="AR496" s="60"/>
      <c r="AS496" s="60"/>
      <c r="AT496" s="60"/>
      <c r="AU496" s="60"/>
      <c r="AV496" s="60"/>
      <c r="AW496" s="60"/>
      <c r="AX496" s="60"/>
      <c r="AY496" s="60"/>
    </row>
    <row r="497" spans="2:51" s="59" customFormat="1">
      <c r="B497" s="203"/>
      <c r="D497" s="186"/>
      <c r="F497" s="209"/>
      <c r="G497" s="209"/>
      <c r="H497" s="209"/>
      <c r="I497" s="209"/>
      <c r="J497" s="209"/>
      <c r="K497" s="191"/>
      <c r="L497" s="363"/>
      <c r="M497" s="366"/>
      <c r="N497" s="366"/>
      <c r="O497" s="365"/>
      <c r="P497" s="365"/>
      <c r="Q497" s="192"/>
      <c r="S497" s="209"/>
      <c r="T497" s="209"/>
      <c r="U497" s="192"/>
      <c r="Z497" s="60"/>
      <c r="AA497" s="60"/>
      <c r="AB497" s="60"/>
      <c r="AC497" s="60"/>
      <c r="AD497" s="60"/>
      <c r="AE497" s="60"/>
      <c r="AF497" s="60"/>
      <c r="AG497" s="60"/>
      <c r="AH497" s="60"/>
      <c r="AI497" s="60"/>
      <c r="AJ497" s="60"/>
      <c r="AR497" s="60"/>
      <c r="AS497" s="60"/>
      <c r="AT497" s="60"/>
      <c r="AU497" s="60"/>
      <c r="AV497" s="60"/>
      <c r="AW497" s="60"/>
      <c r="AX497" s="60"/>
      <c r="AY497" s="60"/>
    </row>
    <row r="498" spans="2:51" s="59" customFormat="1">
      <c r="B498" s="203"/>
      <c r="D498" s="186"/>
      <c r="F498" s="209"/>
      <c r="G498" s="209"/>
      <c r="H498" s="209"/>
      <c r="I498" s="209"/>
      <c r="J498" s="209"/>
      <c r="K498" s="191"/>
      <c r="L498" s="363"/>
      <c r="M498" s="366"/>
      <c r="N498" s="366"/>
      <c r="O498" s="365"/>
      <c r="P498" s="365"/>
      <c r="Q498" s="192"/>
      <c r="S498" s="209"/>
      <c r="T498" s="209"/>
      <c r="U498" s="192"/>
      <c r="Z498" s="60"/>
      <c r="AA498" s="60"/>
      <c r="AB498" s="60"/>
      <c r="AC498" s="60"/>
      <c r="AD498" s="60"/>
      <c r="AE498" s="60"/>
      <c r="AF498" s="60"/>
      <c r="AG498" s="60"/>
      <c r="AH498" s="60"/>
      <c r="AI498" s="60"/>
      <c r="AJ498" s="60"/>
      <c r="AR498" s="60"/>
      <c r="AS498" s="60"/>
      <c r="AT498" s="60"/>
      <c r="AU498" s="60"/>
      <c r="AV498" s="60"/>
      <c r="AW498" s="60"/>
      <c r="AX498" s="60"/>
      <c r="AY498" s="60"/>
    </row>
    <row r="499" spans="2:51" s="59" customFormat="1">
      <c r="B499" s="203"/>
      <c r="D499" s="186"/>
      <c r="F499" s="209"/>
      <c r="G499" s="209"/>
      <c r="H499" s="209"/>
      <c r="I499" s="209"/>
      <c r="J499" s="209"/>
      <c r="K499" s="191"/>
      <c r="L499" s="363"/>
      <c r="M499" s="366"/>
      <c r="N499" s="366"/>
      <c r="O499" s="365"/>
      <c r="P499" s="365"/>
      <c r="Q499" s="192"/>
      <c r="S499" s="209"/>
      <c r="T499" s="209"/>
      <c r="U499" s="192"/>
      <c r="Z499" s="60"/>
      <c r="AA499" s="60"/>
      <c r="AB499" s="60"/>
      <c r="AC499" s="60"/>
      <c r="AD499" s="60"/>
      <c r="AE499" s="60"/>
      <c r="AF499" s="60"/>
      <c r="AG499" s="60"/>
      <c r="AH499" s="60"/>
      <c r="AI499" s="60"/>
      <c r="AJ499" s="60"/>
      <c r="AR499" s="60"/>
      <c r="AS499" s="60"/>
      <c r="AT499" s="60"/>
      <c r="AU499" s="60"/>
      <c r="AV499" s="60"/>
      <c r="AW499" s="60"/>
      <c r="AX499" s="60"/>
      <c r="AY499" s="60"/>
    </row>
    <row r="500" spans="2:51" s="59" customFormat="1">
      <c r="B500" s="203"/>
      <c r="D500" s="186"/>
      <c r="F500" s="209"/>
      <c r="G500" s="209"/>
      <c r="H500" s="209"/>
      <c r="I500" s="209"/>
      <c r="J500" s="209"/>
      <c r="K500" s="191"/>
      <c r="L500" s="363"/>
      <c r="M500" s="366"/>
      <c r="N500" s="366"/>
      <c r="O500" s="365"/>
      <c r="P500" s="365"/>
      <c r="Q500" s="192"/>
      <c r="S500" s="209"/>
      <c r="T500" s="209"/>
      <c r="U500" s="192"/>
      <c r="Z500" s="60"/>
      <c r="AA500" s="60"/>
      <c r="AB500" s="60"/>
      <c r="AC500" s="60"/>
      <c r="AD500" s="60"/>
      <c r="AE500" s="60"/>
      <c r="AF500" s="60"/>
      <c r="AG500" s="60"/>
      <c r="AH500" s="60"/>
      <c r="AI500" s="60"/>
      <c r="AJ500" s="60"/>
      <c r="AR500" s="60"/>
      <c r="AS500" s="60"/>
      <c r="AT500" s="60"/>
      <c r="AU500" s="60"/>
      <c r="AV500" s="60"/>
      <c r="AW500" s="60"/>
      <c r="AX500" s="60"/>
      <c r="AY500" s="60"/>
    </row>
    <row r="501" spans="2:51" s="59" customFormat="1">
      <c r="B501" s="203"/>
      <c r="D501" s="186"/>
      <c r="F501" s="209"/>
      <c r="G501" s="209"/>
      <c r="H501" s="209"/>
      <c r="I501" s="209"/>
      <c r="J501" s="209"/>
      <c r="K501" s="191"/>
      <c r="L501" s="363"/>
      <c r="M501" s="366"/>
      <c r="N501" s="366"/>
      <c r="O501" s="365"/>
      <c r="P501" s="365"/>
      <c r="Q501" s="192"/>
      <c r="S501" s="209"/>
      <c r="T501" s="209"/>
      <c r="U501" s="192"/>
      <c r="Z501" s="60"/>
      <c r="AA501" s="60"/>
      <c r="AB501" s="60"/>
      <c r="AC501" s="60"/>
      <c r="AD501" s="60"/>
      <c r="AE501" s="60"/>
      <c r="AF501" s="60"/>
      <c r="AG501" s="60"/>
      <c r="AH501" s="60"/>
      <c r="AI501" s="60"/>
      <c r="AJ501" s="60"/>
      <c r="AR501" s="60"/>
      <c r="AS501" s="60"/>
      <c r="AT501" s="60"/>
      <c r="AU501" s="60"/>
      <c r="AV501" s="60"/>
      <c r="AW501" s="60"/>
      <c r="AX501" s="60"/>
      <c r="AY501" s="60"/>
    </row>
    <row r="502" spans="2:51" s="59" customFormat="1">
      <c r="B502" s="203"/>
      <c r="D502" s="186"/>
      <c r="F502" s="209"/>
      <c r="G502" s="209"/>
      <c r="H502" s="209"/>
      <c r="I502" s="209"/>
      <c r="J502" s="209"/>
      <c r="K502" s="191"/>
      <c r="L502" s="363"/>
      <c r="M502" s="366"/>
      <c r="N502" s="366"/>
      <c r="O502" s="365"/>
      <c r="P502" s="365"/>
      <c r="Q502" s="192"/>
      <c r="S502" s="209"/>
      <c r="T502" s="209"/>
      <c r="U502" s="192"/>
      <c r="Z502" s="60"/>
      <c r="AA502" s="60"/>
      <c r="AB502" s="60"/>
      <c r="AC502" s="60"/>
      <c r="AD502" s="60"/>
      <c r="AE502" s="60"/>
      <c r="AF502" s="60"/>
      <c r="AG502" s="60"/>
      <c r="AH502" s="60"/>
      <c r="AI502" s="60"/>
      <c r="AJ502" s="60"/>
      <c r="AR502" s="60"/>
      <c r="AS502" s="60"/>
      <c r="AT502" s="60"/>
      <c r="AU502" s="60"/>
      <c r="AV502" s="60"/>
      <c r="AW502" s="60"/>
      <c r="AX502" s="60"/>
      <c r="AY502" s="60"/>
    </row>
    <row r="503" spans="2:51" s="59" customFormat="1">
      <c r="B503" s="203"/>
      <c r="D503" s="186"/>
      <c r="F503" s="209"/>
      <c r="G503" s="209"/>
      <c r="H503" s="209"/>
      <c r="I503" s="209"/>
      <c r="J503" s="209"/>
      <c r="K503" s="191"/>
      <c r="L503" s="363"/>
      <c r="M503" s="366"/>
      <c r="N503" s="366"/>
      <c r="O503" s="365"/>
      <c r="P503" s="365"/>
      <c r="Q503" s="192"/>
      <c r="S503" s="209"/>
      <c r="T503" s="209"/>
      <c r="U503" s="192"/>
      <c r="Z503" s="60"/>
      <c r="AA503" s="60"/>
      <c r="AB503" s="60"/>
      <c r="AC503" s="60"/>
      <c r="AD503" s="60"/>
      <c r="AE503" s="60"/>
      <c r="AF503" s="60"/>
      <c r="AG503" s="60"/>
      <c r="AH503" s="60"/>
      <c r="AI503" s="60"/>
      <c r="AJ503" s="60"/>
      <c r="AR503" s="60"/>
      <c r="AS503" s="60"/>
      <c r="AT503" s="60"/>
      <c r="AU503" s="60"/>
      <c r="AV503" s="60"/>
      <c r="AW503" s="60"/>
      <c r="AX503" s="60"/>
      <c r="AY503" s="60"/>
    </row>
    <row r="504" spans="2:51" s="59" customFormat="1">
      <c r="B504" s="203"/>
      <c r="D504" s="186"/>
      <c r="F504" s="209"/>
      <c r="G504" s="209"/>
      <c r="H504" s="209"/>
      <c r="I504" s="209"/>
      <c r="J504" s="209"/>
      <c r="K504" s="191"/>
      <c r="L504" s="363"/>
      <c r="M504" s="366"/>
      <c r="N504" s="366"/>
      <c r="O504" s="365"/>
      <c r="P504" s="365"/>
      <c r="Q504" s="192"/>
      <c r="S504" s="209"/>
      <c r="T504" s="209"/>
      <c r="U504" s="192"/>
      <c r="Z504" s="60"/>
      <c r="AA504" s="60"/>
      <c r="AB504" s="60"/>
      <c r="AC504" s="60"/>
      <c r="AD504" s="60"/>
      <c r="AE504" s="60"/>
      <c r="AF504" s="60"/>
      <c r="AG504" s="60"/>
      <c r="AH504" s="60"/>
      <c r="AI504" s="60"/>
      <c r="AJ504" s="60"/>
      <c r="AR504" s="60"/>
      <c r="AS504" s="60"/>
      <c r="AT504" s="60"/>
      <c r="AU504" s="60"/>
      <c r="AV504" s="60"/>
      <c r="AW504" s="60"/>
      <c r="AX504" s="60"/>
      <c r="AY504" s="60"/>
    </row>
    <row r="505" spans="2:51" s="59" customFormat="1">
      <c r="B505" s="203"/>
      <c r="D505" s="186"/>
      <c r="F505" s="209"/>
      <c r="G505" s="209"/>
      <c r="H505" s="209"/>
      <c r="I505" s="209"/>
      <c r="J505" s="209"/>
      <c r="K505" s="191"/>
      <c r="L505" s="363"/>
      <c r="M505" s="366"/>
      <c r="N505" s="366"/>
      <c r="O505" s="365"/>
      <c r="P505" s="365"/>
      <c r="Q505" s="192"/>
      <c r="S505" s="209"/>
      <c r="T505" s="209"/>
      <c r="U505" s="192"/>
      <c r="Z505" s="60"/>
      <c r="AA505" s="60"/>
      <c r="AB505" s="60"/>
      <c r="AC505" s="60"/>
      <c r="AD505" s="60"/>
      <c r="AE505" s="60"/>
      <c r="AF505" s="60"/>
      <c r="AG505" s="60"/>
      <c r="AH505" s="60"/>
      <c r="AI505" s="60"/>
      <c r="AJ505" s="60"/>
      <c r="AR505" s="60"/>
      <c r="AS505" s="60"/>
      <c r="AT505" s="60"/>
      <c r="AU505" s="60"/>
      <c r="AV505" s="60"/>
      <c r="AW505" s="60"/>
      <c r="AX505" s="60"/>
      <c r="AY505" s="60"/>
    </row>
    <row r="506" spans="2:51" s="59" customFormat="1">
      <c r="B506" s="203"/>
      <c r="D506" s="186"/>
      <c r="F506" s="209"/>
      <c r="G506" s="209"/>
      <c r="H506" s="209"/>
      <c r="I506" s="209"/>
      <c r="J506" s="209"/>
      <c r="K506" s="191"/>
      <c r="L506" s="363"/>
      <c r="M506" s="366"/>
      <c r="N506" s="366"/>
      <c r="O506" s="365"/>
      <c r="P506" s="365"/>
      <c r="Q506" s="192"/>
      <c r="S506" s="209"/>
      <c r="T506" s="209"/>
      <c r="U506" s="192"/>
      <c r="Z506" s="60"/>
      <c r="AA506" s="60"/>
      <c r="AB506" s="60"/>
      <c r="AC506" s="60"/>
      <c r="AD506" s="60"/>
      <c r="AE506" s="60"/>
      <c r="AF506" s="60"/>
      <c r="AG506" s="60"/>
      <c r="AH506" s="60"/>
      <c r="AI506" s="60"/>
      <c r="AJ506" s="60"/>
      <c r="AR506" s="60"/>
      <c r="AS506" s="60"/>
      <c r="AT506" s="60"/>
      <c r="AU506" s="60"/>
      <c r="AV506" s="60"/>
      <c r="AW506" s="60"/>
      <c r="AX506" s="60"/>
      <c r="AY506" s="60"/>
    </row>
    <row r="507" spans="2:51" s="59" customFormat="1">
      <c r="B507" s="203"/>
      <c r="D507" s="186"/>
      <c r="F507" s="209"/>
      <c r="G507" s="209"/>
      <c r="H507" s="209"/>
      <c r="I507" s="209"/>
      <c r="J507" s="209"/>
      <c r="K507" s="191"/>
      <c r="L507" s="363"/>
      <c r="M507" s="366"/>
      <c r="N507" s="366"/>
      <c r="O507" s="365"/>
      <c r="P507" s="365"/>
      <c r="Q507" s="192"/>
      <c r="S507" s="209"/>
      <c r="T507" s="209"/>
      <c r="U507" s="192"/>
      <c r="Z507" s="60"/>
      <c r="AA507" s="60"/>
      <c r="AB507" s="60"/>
      <c r="AC507" s="60"/>
      <c r="AD507" s="60"/>
      <c r="AE507" s="60"/>
      <c r="AF507" s="60"/>
      <c r="AG507" s="60"/>
      <c r="AH507" s="60"/>
      <c r="AI507" s="60"/>
      <c r="AJ507" s="60"/>
      <c r="AR507" s="60"/>
      <c r="AS507" s="60"/>
      <c r="AT507" s="60"/>
      <c r="AU507" s="60"/>
      <c r="AV507" s="60"/>
      <c r="AW507" s="60"/>
      <c r="AX507" s="60"/>
      <c r="AY507" s="60"/>
    </row>
    <row r="508" spans="2:51" s="59" customFormat="1">
      <c r="B508" s="203"/>
      <c r="D508" s="186"/>
      <c r="F508" s="209"/>
      <c r="G508" s="209"/>
      <c r="H508" s="209"/>
      <c r="I508" s="209"/>
      <c r="J508" s="209"/>
      <c r="K508" s="191"/>
      <c r="L508" s="363"/>
      <c r="M508" s="366"/>
      <c r="N508" s="366"/>
      <c r="O508" s="365"/>
      <c r="P508" s="365"/>
      <c r="Q508" s="192"/>
      <c r="S508" s="209"/>
      <c r="T508" s="209"/>
      <c r="U508" s="192"/>
      <c r="Z508" s="60"/>
      <c r="AA508" s="60"/>
      <c r="AB508" s="60"/>
      <c r="AC508" s="60"/>
      <c r="AD508" s="60"/>
      <c r="AE508" s="60"/>
      <c r="AF508" s="60"/>
      <c r="AG508" s="60"/>
      <c r="AH508" s="60"/>
      <c r="AI508" s="60"/>
      <c r="AJ508" s="60"/>
      <c r="AR508" s="60"/>
      <c r="AS508" s="60"/>
      <c r="AT508" s="60"/>
      <c r="AU508" s="60"/>
      <c r="AV508" s="60"/>
      <c r="AW508" s="60"/>
      <c r="AX508" s="60"/>
      <c r="AY508" s="60"/>
    </row>
    <row r="509" spans="2:51" s="59" customFormat="1">
      <c r="B509" s="203"/>
      <c r="D509" s="186"/>
      <c r="F509" s="209"/>
      <c r="G509" s="209"/>
      <c r="H509" s="209"/>
      <c r="I509" s="209"/>
      <c r="J509" s="209"/>
      <c r="K509" s="191"/>
      <c r="L509" s="363"/>
      <c r="M509" s="366"/>
      <c r="N509" s="366"/>
      <c r="O509" s="365"/>
      <c r="P509" s="365"/>
      <c r="Q509" s="192"/>
      <c r="S509" s="209"/>
      <c r="T509" s="209"/>
      <c r="U509" s="192"/>
      <c r="Z509" s="60"/>
      <c r="AA509" s="60"/>
      <c r="AB509" s="60"/>
      <c r="AC509" s="60"/>
      <c r="AD509" s="60"/>
      <c r="AE509" s="60"/>
      <c r="AF509" s="60"/>
      <c r="AG509" s="60"/>
      <c r="AH509" s="60"/>
      <c r="AI509" s="60"/>
      <c r="AJ509" s="60"/>
      <c r="AR509" s="60"/>
      <c r="AS509" s="60"/>
      <c r="AT509" s="60"/>
      <c r="AU509" s="60"/>
      <c r="AV509" s="60"/>
      <c r="AW509" s="60"/>
      <c r="AX509" s="60"/>
      <c r="AY509" s="60"/>
    </row>
    <row r="510" spans="2:51" s="59" customFormat="1">
      <c r="B510" s="203"/>
      <c r="D510" s="186"/>
      <c r="F510" s="209"/>
      <c r="G510" s="209"/>
      <c r="H510" s="209"/>
      <c r="I510" s="209"/>
      <c r="J510" s="209"/>
      <c r="K510" s="191"/>
      <c r="L510" s="363"/>
      <c r="M510" s="366"/>
      <c r="N510" s="366"/>
      <c r="O510" s="365"/>
      <c r="P510" s="365"/>
      <c r="Q510" s="192"/>
      <c r="S510" s="209"/>
      <c r="T510" s="209"/>
      <c r="U510" s="192"/>
      <c r="Z510" s="60"/>
      <c r="AA510" s="60"/>
      <c r="AB510" s="60"/>
      <c r="AC510" s="60"/>
      <c r="AD510" s="60"/>
      <c r="AE510" s="60"/>
      <c r="AF510" s="60"/>
      <c r="AG510" s="60"/>
      <c r="AH510" s="60"/>
      <c r="AI510" s="60"/>
      <c r="AJ510" s="60"/>
      <c r="AR510" s="60"/>
      <c r="AS510" s="60"/>
      <c r="AT510" s="60"/>
      <c r="AU510" s="60"/>
      <c r="AV510" s="60"/>
      <c r="AW510" s="60"/>
      <c r="AX510" s="60"/>
      <c r="AY510" s="60"/>
    </row>
    <row r="511" spans="2:51" s="59" customFormat="1">
      <c r="B511" s="203"/>
      <c r="D511" s="186"/>
      <c r="F511" s="209"/>
      <c r="G511" s="209"/>
      <c r="H511" s="209"/>
      <c r="I511" s="209"/>
      <c r="J511" s="209"/>
      <c r="K511" s="191"/>
      <c r="L511" s="363"/>
      <c r="M511" s="366"/>
      <c r="N511" s="366"/>
      <c r="O511" s="365"/>
      <c r="P511" s="365"/>
      <c r="Q511" s="192"/>
      <c r="S511" s="209"/>
      <c r="T511" s="209"/>
      <c r="U511" s="192"/>
      <c r="Z511" s="60"/>
      <c r="AA511" s="60"/>
      <c r="AB511" s="60"/>
      <c r="AC511" s="60"/>
      <c r="AD511" s="60"/>
      <c r="AE511" s="60"/>
      <c r="AF511" s="60"/>
      <c r="AG511" s="60"/>
      <c r="AH511" s="60"/>
      <c r="AI511" s="60"/>
      <c r="AJ511" s="60"/>
      <c r="AR511" s="60"/>
      <c r="AS511" s="60"/>
      <c r="AT511" s="60"/>
      <c r="AU511" s="60"/>
      <c r="AV511" s="60"/>
      <c r="AW511" s="60"/>
      <c r="AX511" s="60"/>
      <c r="AY511" s="60"/>
    </row>
    <row r="512" spans="2:51" s="59" customFormat="1">
      <c r="B512" s="203"/>
      <c r="D512" s="186"/>
      <c r="F512" s="209"/>
      <c r="G512" s="209"/>
      <c r="H512" s="209"/>
      <c r="I512" s="209"/>
      <c r="J512" s="209"/>
      <c r="K512" s="191"/>
      <c r="L512" s="363"/>
      <c r="M512" s="366"/>
      <c r="N512" s="366"/>
      <c r="O512" s="365"/>
      <c r="P512" s="365"/>
      <c r="Q512" s="192"/>
      <c r="S512" s="209"/>
      <c r="T512" s="209"/>
      <c r="U512" s="192"/>
      <c r="Z512" s="60"/>
      <c r="AA512" s="60"/>
      <c r="AB512" s="60"/>
      <c r="AC512" s="60"/>
      <c r="AD512" s="60"/>
      <c r="AE512" s="60"/>
      <c r="AF512" s="60"/>
      <c r="AG512" s="60"/>
      <c r="AH512" s="60"/>
      <c r="AI512" s="60"/>
      <c r="AJ512" s="60"/>
      <c r="AR512" s="60"/>
      <c r="AS512" s="60"/>
      <c r="AT512" s="60"/>
      <c r="AU512" s="60"/>
      <c r="AV512" s="60"/>
      <c r="AW512" s="60"/>
      <c r="AX512" s="60"/>
      <c r="AY512" s="60"/>
    </row>
    <row r="513" spans="2:51" s="59" customFormat="1">
      <c r="B513" s="203"/>
      <c r="D513" s="186"/>
      <c r="F513" s="209"/>
      <c r="G513" s="209"/>
      <c r="H513" s="209"/>
      <c r="I513" s="209"/>
      <c r="J513" s="209"/>
      <c r="K513" s="191"/>
      <c r="L513" s="363"/>
      <c r="M513" s="366"/>
      <c r="N513" s="366"/>
      <c r="O513" s="365"/>
      <c r="P513" s="365"/>
      <c r="Q513" s="192"/>
      <c r="S513" s="209"/>
      <c r="T513" s="209"/>
      <c r="U513" s="192"/>
      <c r="Z513" s="60"/>
      <c r="AA513" s="60"/>
      <c r="AB513" s="60"/>
      <c r="AC513" s="60"/>
      <c r="AD513" s="60"/>
      <c r="AE513" s="60"/>
      <c r="AF513" s="60"/>
      <c r="AG513" s="60"/>
      <c r="AH513" s="60"/>
      <c r="AI513" s="60"/>
      <c r="AJ513" s="60"/>
      <c r="AR513" s="60"/>
      <c r="AS513" s="60"/>
      <c r="AT513" s="60"/>
      <c r="AU513" s="60"/>
      <c r="AV513" s="60"/>
      <c r="AW513" s="60"/>
      <c r="AX513" s="60"/>
      <c r="AY513" s="60"/>
    </row>
    <row r="514" spans="2:51" s="59" customFormat="1">
      <c r="B514" s="203"/>
      <c r="D514" s="186"/>
      <c r="F514" s="209"/>
      <c r="G514" s="209"/>
      <c r="H514" s="209"/>
      <c r="I514" s="209"/>
      <c r="J514" s="209"/>
      <c r="K514" s="191"/>
      <c r="L514" s="363"/>
      <c r="M514" s="366"/>
      <c r="N514" s="366"/>
      <c r="O514" s="365"/>
      <c r="P514" s="365"/>
      <c r="Q514" s="192"/>
      <c r="S514" s="209"/>
      <c r="T514" s="209"/>
      <c r="U514" s="192"/>
      <c r="Z514" s="60"/>
      <c r="AA514" s="60"/>
      <c r="AB514" s="60"/>
      <c r="AC514" s="60"/>
      <c r="AD514" s="60"/>
      <c r="AE514" s="60"/>
      <c r="AF514" s="60"/>
      <c r="AG514" s="60"/>
      <c r="AH514" s="60"/>
      <c r="AI514" s="60"/>
      <c r="AJ514" s="60"/>
      <c r="AR514" s="60"/>
      <c r="AS514" s="60"/>
      <c r="AT514" s="60"/>
      <c r="AU514" s="60"/>
      <c r="AV514" s="60"/>
      <c r="AW514" s="60"/>
      <c r="AX514" s="60"/>
      <c r="AY514" s="60"/>
    </row>
    <row r="515" spans="2:51" s="59" customFormat="1">
      <c r="B515" s="203"/>
      <c r="D515" s="186"/>
      <c r="F515" s="209"/>
      <c r="G515" s="209"/>
      <c r="H515" s="209"/>
      <c r="I515" s="209"/>
      <c r="J515" s="209"/>
      <c r="K515" s="191"/>
      <c r="L515" s="363"/>
      <c r="M515" s="366"/>
      <c r="N515" s="366"/>
      <c r="O515" s="365"/>
      <c r="P515" s="365"/>
      <c r="Q515" s="192"/>
      <c r="S515" s="209"/>
      <c r="T515" s="209"/>
      <c r="U515" s="192"/>
      <c r="Z515" s="60"/>
      <c r="AA515" s="60"/>
      <c r="AB515" s="60"/>
      <c r="AC515" s="60"/>
      <c r="AD515" s="60"/>
      <c r="AE515" s="60"/>
      <c r="AF515" s="60"/>
      <c r="AG515" s="60"/>
      <c r="AH515" s="60"/>
      <c r="AI515" s="60"/>
      <c r="AJ515" s="60"/>
      <c r="AR515" s="60"/>
      <c r="AS515" s="60"/>
      <c r="AT515" s="60"/>
      <c r="AU515" s="60"/>
      <c r="AV515" s="60"/>
      <c r="AW515" s="60"/>
      <c r="AX515" s="60"/>
      <c r="AY515" s="60"/>
    </row>
    <row r="516" spans="2:51" s="59" customFormat="1">
      <c r="B516" s="203"/>
      <c r="D516" s="186"/>
      <c r="F516" s="209"/>
      <c r="G516" s="209"/>
      <c r="H516" s="209"/>
      <c r="I516" s="209"/>
      <c r="J516" s="209"/>
      <c r="K516" s="191"/>
      <c r="L516" s="363"/>
      <c r="M516" s="366"/>
      <c r="N516" s="366"/>
      <c r="O516" s="365"/>
      <c r="P516" s="365"/>
      <c r="Q516" s="192"/>
      <c r="S516" s="209"/>
      <c r="T516" s="209"/>
      <c r="U516" s="192"/>
      <c r="Z516" s="60"/>
      <c r="AA516" s="60"/>
      <c r="AB516" s="60"/>
      <c r="AC516" s="60"/>
      <c r="AD516" s="60"/>
      <c r="AE516" s="60"/>
      <c r="AF516" s="60"/>
      <c r="AG516" s="60"/>
      <c r="AH516" s="60"/>
      <c r="AI516" s="60"/>
      <c r="AJ516" s="60"/>
      <c r="AR516" s="60"/>
      <c r="AS516" s="60"/>
      <c r="AT516" s="60"/>
      <c r="AU516" s="60"/>
      <c r="AV516" s="60"/>
      <c r="AW516" s="60"/>
      <c r="AX516" s="60"/>
      <c r="AY516" s="60"/>
    </row>
    <row r="517" spans="2:51" s="59" customFormat="1">
      <c r="B517" s="203"/>
      <c r="D517" s="186"/>
      <c r="F517" s="209"/>
      <c r="G517" s="209"/>
      <c r="H517" s="209"/>
      <c r="I517" s="209"/>
      <c r="J517" s="209"/>
      <c r="K517" s="191"/>
      <c r="L517" s="363"/>
      <c r="M517" s="366"/>
      <c r="N517" s="366"/>
      <c r="O517" s="365"/>
      <c r="P517" s="365"/>
      <c r="Q517" s="192"/>
      <c r="S517" s="209"/>
      <c r="T517" s="209"/>
      <c r="U517" s="192"/>
      <c r="Z517" s="60"/>
      <c r="AA517" s="60"/>
      <c r="AB517" s="60"/>
      <c r="AC517" s="60"/>
      <c r="AD517" s="60"/>
      <c r="AE517" s="60"/>
      <c r="AF517" s="60"/>
      <c r="AG517" s="60"/>
      <c r="AH517" s="60"/>
      <c r="AI517" s="60"/>
      <c r="AJ517" s="60"/>
      <c r="AR517" s="60"/>
      <c r="AS517" s="60"/>
      <c r="AT517" s="60"/>
      <c r="AU517" s="60"/>
      <c r="AV517" s="60"/>
      <c r="AW517" s="60"/>
      <c r="AX517" s="60"/>
      <c r="AY517" s="60"/>
    </row>
    <row r="518" spans="2:51" s="59" customFormat="1">
      <c r="B518" s="203"/>
      <c r="D518" s="186"/>
      <c r="F518" s="209"/>
      <c r="G518" s="209"/>
      <c r="H518" s="209"/>
      <c r="I518" s="209"/>
      <c r="J518" s="209"/>
      <c r="K518" s="191"/>
      <c r="L518" s="363"/>
      <c r="M518" s="366"/>
      <c r="N518" s="366"/>
      <c r="O518" s="365"/>
      <c r="P518" s="365"/>
      <c r="Q518" s="192"/>
      <c r="S518" s="209"/>
      <c r="T518" s="209"/>
      <c r="U518" s="192"/>
      <c r="Z518" s="60"/>
      <c r="AA518" s="60"/>
      <c r="AB518" s="60"/>
      <c r="AC518" s="60"/>
      <c r="AD518" s="60"/>
      <c r="AE518" s="60"/>
      <c r="AF518" s="60"/>
      <c r="AG518" s="60"/>
      <c r="AH518" s="60"/>
      <c r="AI518" s="60"/>
      <c r="AJ518" s="60"/>
      <c r="AR518" s="60"/>
      <c r="AS518" s="60"/>
      <c r="AT518" s="60"/>
      <c r="AU518" s="60"/>
      <c r="AV518" s="60"/>
      <c r="AW518" s="60"/>
      <c r="AX518" s="60"/>
      <c r="AY518" s="60"/>
    </row>
    <row r="519" spans="2:51" s="59" customFormat="1">
      <c r="B519" s="203"/>
      <c r="D519" s="186"/>
      <c r="F519" s="209"/>
      <c r="G519" s="209"/>
      <c r="H519" s="209"/>
      <c r="I519" s="209"/>
      <c r="J519" s="209"/>
      <c r="K519" s="191"/>
      <c r="L519" s="363"/>
      <c r="M519" s="366"/>
      <c r="N519" s="366"/>
      <c r="O519" s="365"/>
      <c r="P519" s="365"/>
      <c r="Q519" s="192"/>
      <c r="S519" s="209"/>
      <c r="T519" s="209"/>
      <c r="U519" s="192"/>
      <c r="Z519" s="60"/>
      <c r="AA519" s="60"/>
      <c r="AB519" s="60"/>
      <c r="AC519" s="60"/>
      <c r="AD519" s="60"/>
      <c r="AE519" s="60"/>
      <c r="AF519" s="60"/>
      <c r="AG519" s="60"/>
      <c r="AH519" s="60"/>
      <c r="AI519" s="60"/>
      <c r="AJ519" s="60"/>
      <c r="AR519" s="60"/>
      <c r="AS519" s="60"/>
      <c r="AT519" s="60"/>
      <c r="AU519" s="60"/>
      <c r="AV519" s="60"/>
      <c r="AW519" s="60"/>
      <c r="AX519" s="60"/>
      <c r="AY519" s="60"/>
    </row>
    <row r="520" spans="2:51" s="59" customFormat="1">
      <c r="B520" s="203"/>
      <c r="D520" s="186"/>
      <c r="F520" s="209"/>
      <c r="G520" s="209"/>
      <c r="H520" s="209"/>
      <c r="I520" s="209"/>
      <c r="J520" s="209"/>
      <c r="K520" s="191"/>
      <c r="L520" s="363"/>
      <c r="M520" s="366"/>
      <c r="N520" s="366"/>
      <c r="O520" s="365"/>
      <c r="P520" s="365"/>
      <c r="Q520" s="192"/>
      <c r="S520" s="209"/>
      <c r="T520" s="209"/>
      <c r="U520" s="192"/>
      <c r="Z520" s="60"/>
      <c r="AA520" s="60"/>
      <c r="AB520" s="60"/>
      <c r="AC520" s="60"/>
      <c r="AD520" s="60"/>
      <c r="AE520" s="60"/>
      <c r="AF520" s="60"/>
      <c r="AG520" s="60"/>
      <c r="AH520" s="60"/>
      <c r="AI520" s="60"/>
      <c r="AJ520" s="60"/>
      <c r="AR520" s="60"/>
      <c r="AS520" s="60"/>
      <c r="AT520" s="60"/>
      <c r="AU520" s="60"/>
      <c r="AV520" s="60"/>
      <c r="AW520" s="60"/>
      <c r="AX520" s="60"/>
      <c r="AY520" s="60"/>
    </row>
    <row r="521" spans="2:51" s="59" customFormat="1">
      <c r="B521" s="203"/>
      <c r="D521" s="186"/>
      <c r="F521" s="209"/>
      <c r="G521" s="209"/>
      <c r="H521" s="209"/>
      <c r="I521" s="209"/>
      <c r="J521" s="209"/>
      <c r="K521" s="191"/>
      <c r="L521" s="363"/>
      <c r="M521" s="366"/>
      <c r="N521" s="366"/>
      <c r="O521" s="365"/>
      <c r="P521" s="365"/>
      <c r="Q521" s="192"/>
      <c r="S521" s="209"/>
      <c r="T521" s="209"/>
      <c r="U521" s="192"/>
      <c r="Z521" s="60"/>
      <c r="AA521" s="60"/>
      <c r="AB521" s="60"/>
      <c r="AC521" s="60"/>
      <c r="AD521" s="60"/>
      <c r="AE521" s="60"/>
      <c r="AF521" s="60"/>
      <c r="AG521" s="60"/>
      <c r="AH521" s="60"/>
      <c r="AI521" s="60"/>
      <c r="AJ521" s="60"/>
      <c r="AR521" s="60"/>
      <c r="AS521" s="60"/>
      <c r="AT521" s="60"/>
      <c r="AU521" s="60"/>
      <c r="AV521" s="60"/>
      <c r="AW521" s="60"/>
      <c r="AX521" s="60"/>
      <c r="AY521" s="60"/>
    </row>
    <row r="522" spans="2:51" s="59" customFormat="1">
      <c r="B522" s="203"/>
      <c r="D522" s="186"/>
      <c r="F522" s="209"/>
      <c r="G522" s="209"/>
      <c r="H522" s="209"/>
      <c r="I522" s="209"/>
      <c r="J522" s="209"/>
      <c r="K522" s="191"/>
      <c r="L522" s="363"/>
      <c r="M522" s="366"/>
      <c r="N522" s="366"/>
      <c r="O522" s="365"/>
      <c r="P522" s="365"/>
      <c r="Q522" s="192"/>
      <c r="S522" s="209"/>
      <c r="T522" s="209"/>
      <c r="U522" s="192"/>
      <c r="Z522" s="60"/>
      <c r="AA522" s="60"/>
      <c r="AB522" s="60"/>
      <c r="AC522" s="60"/>
      <c r="AD522" s="60"/>
      <c r="AE522" s="60"/>
      <c r="AF522" s="60"/>
      <c r="AG522" s="60"/>
      <c r="AH522" s="60"/>
      <c r="AI522" s="60"/>
      <c r="AJ522" s="60"/>
      <c r="AR522" s="60"/>
      <c r="AS522" s="60"/>
      <c r="AT522" s="60"/>
      <c r="AU522" s="60"/>
      <c r="AV522" s="60"/>
      <c r="AW522" s="60"/>
      <c r="AX522" s="60"/>
      <c r="AY522" s="60"/>
    </row>
    <row r="523" spans="2:51" s="59" customFormat="1">
      <c r="B523" s="203"/>
      <c r="D523" s="186"/>
      <c r="F523" s="209"/>
      <c r="G523" s="209"/>
      <c r="H523" s="209"/>
      <c r="I523" s="209"/>
      <c r="J523" s="209"/>
      <c r="K523" s="191"/>
      <c r="L523" s="363"/>
      <c r="M523" s="366"/>
      <c r="N523" s="366"/>
      <c r="O523" s="365"/>
      <c r="P523" s="365"/>
      <c r="Q523" s="192"/>
      <c r="S523" s="209"/>
      <c r="T523" s="209"/>
      <c r="U523" s="192"/>
      <c r="Z523" s="60"/>
      <c r="AA523" s="60"/>
      <c r="AB523" s="60"/>
      <c r="AC523" s="60"/>
      <c r="AD523" s="60"/>
      <c r="AE523" s="60"/>
      <c r="AF523" s="60"/>
      <c r="AG523" s="60"/>
      <c r="AH523" s="60"/>
      <c r="AI523" s="60"/>
      <c r="AJ523" s="60"/>
      <c r="AR523" s="60"/>
      <c r="AS523" s="60"/>
      <c r="AT523" s="60"/>
      <c r="AU523" s="60"/>
      <c r="AV523" s="60"/>
      <c r="AW523" s="60"/>
      <c r="AX523" s="60"/>
      <c r="AY523" s="60"/>
    </row>
    <row r="524" spans="2:51" s="59" customFormat="1">
      <c r="B524" s="203"/>
      <c r="D524" s="186"/>
      <c r="F524" s="209"/>
      <c r="G524" s="209"/>
      <c r="H524" s="209"/>
      <c r="I524" s="209"/>
      <c r="J524" s="209"/>
      <c r="K524" s="191"/>
      <c r="L524" s="363"/>
      <c r="M524" s="366"/>
      <c r="N524" s="366"/>
      <c r="O524" s="365"/>
      <c r="P524" s="365"/>
      <c r="Q524" s="192"/>
      <c r="S524" s="209"/>
      <c r="T524" s="209"/>
      <c r="U524" s="192"/>
      <c r="Z524" s="60"/>
      <c r="AA524" s="60"/>
      <c r="AB524" s="60"/>
      <c r="AC524" s="60"/>
      <c r="AD524" s="60"/>
      <c r="AE524" s="60"/>
      <c r="AF524" s="60"/>
      <c r="AG524" s="60"/>
      <c r="AH524" s="60"/>
      <c r="AI524" s="60"/>
      <c r="AJ524" s="60"/>
      <c r="AR524" s="60"/>
      <c r="AS524" s="60"/>
      <c r="AT524" s="60"/>
      <c r="AU524" s="60"/>
      <c r="AV524" s="60"/>
      <c r="AW524" s="60"/>
      <c r="AX524" s="60"/>
      <c r="AY524" s="60"/>
    </row>
    <row r="525" spans="2:51" s="59" customFormat="1">
      <c r="B525" s="203"/>
      <c r="D525" s="186"/>
      <c r="F525" s="209"/>
      <c r="G525" s="209"/>
      <c r="H525" s="209"/>
      <c r="I525" s="209"/>
      <c r="J525" s="209"/>
      <c r="K525" s="191"/>
      <c r="L525" s="363"/>
      <c r="M525" s="366"/>
      <c r="N525" s="366"/>
      <c r="O525" s="365"/>
      <c r="P525" s="365"/>
      <c r="Q525" s="192"/>
      <c r="S525" s="209"/>
      <c r="T525" s="209"/>
      <c r="U525" s="192"/>
      <c r="Z525" s="60"/>
      <c r="AA525" s="60"/>
      <c r="AB525" s="60"/>
      <c r="AC525" s="60"/>
      <c r="AD525" s="60"/>
      <c r="AE525" s="60"/>
      <c r="AF525" s="60"/>
      <c r="AG525" s="60"/>
      <c r="AH525" s="60"/>
      <c r="AI525" s="60"/>
      <c r="AJ525" s="60"/>
      <c r="AR525" s="60"/>
      <c r="AS525" s="60"/>
      <c r="AT525" s="60"/>
      <c r="AU525" s="60"/>
      <c r="AV525" s="60"/>
      <c r="AW525" s="60"/>
      <c r="AX525" s="60"/>
      <c r="AY525" s="60"/>
    </row>
    <row r="526" spans="2:51" s="59" customFormat="1">
      <c r="B526" s="203"/>
      <c r="D526" s="186"/>
      <c r="F526" s="209"/>
      <c r="G526" s="209"/>
      <c r="H526" s="209"/>
      <c r="I526" s="209"/>
      <c r="J526" s="209"/>
      <c r="K526" s="191"/>
      <c r="L526" s="363"/>
      <c r="M526" s="366"/>
      <c r="N526" s="366"/>
      <c r="O526" s="365"/>
      <c r="P526" s="365"/>
      <c r="Q526" s="192"/>
      <c r="S526" s="209"/>
      <c r="T526" s="209"/>
      <c r="U526" s="192"/>
      <c r="Z526" s="60"/>
      <c r="AA526" s="60"/>
      <c r="AB526" s="60"/>
      <c r="AC526" s="60"/>
      <c r="AD526" s="60"/>
      <c r="AE526" s="60"/>
      <c r="AF526" s="60"/>
      <c r="AG526" s="60"/>
      <c r="AH526" s="60"/>
      <c r="AI526" s="60"/>
      <c r="AJ526" s="60"/>
      <c r="AR526" s="60"/>
      <c r="AS526" s="60"/>
      <c r="AT526" s="60"/>
      <c r="AU526" s="60"/>
      <c r="AV526" s="60"/>
      <c r="AW526" s="60"/>
      <c r="AX526" s="60"/>
      <c r="AY526" s="60"/>
    </row>
    <row r="527" spans="2:51" s="59" customFormat="1">
      <c r="B527" s="203"/>
      <c r="D527" s="186"/>
      <c r="F527" s="209"/>
      <c r="G527" s="209"/>
      <c r="H527" s="209"/>
      <c r="I527" s="209"/>
      <c r="J527" s="209"/>
      <c r="K527" s="191"/>
      <c r="L527" s="363"/>
      <c r="M527" s="366"/>
      <c r="N527" s="366"/>
      <c r="O527" s="365"/>
      <c r="P527" s="365"/>
      <c r="Q527" s="192"/>
      <c r="S527" s="209"/>
      <c r="T527" s="209"/>
      <c r="U527" s="192"/>
      <c r="Z527" s="60"/>
      <c r="AA527" s="60"/>
      <c r="AB527" s="60"/>
      <c r="AC527" s="60"/>
      <c r="AD527" s="60"/>
      <c r="AE527" s="60"/>
      <c r="AF527" s="60"/>
      <c r="AG527" s="60"/>
      <c r="AH527" s="60"/>
      <c r="AI527" s="60"/>
      <c r="AJ527" s="60"/>
      <c r="AR527" s="60"/>
      <c r="AS527" s="60"/>
      <c r="AT527" s="60"/>
      <c r="AU527" s="60"/>
      <c r="AV527" s="60"/>
      <c r="AW527" s="60"/>
      <c r="AX527" s="60"/>
      <c r="AY527" s="60"/>
    </row>
    <row r="528" spans="2:51" s="59" customFormat="1">
      <c r="B528" s="203"/>
      <c r="D528" s="186"/>
      <c r="F528" s="209"/>
      <c r="G528" s="209"/>
      <c r="H528" s="209"/>
      <c r="I528" s="209"/>
      <c r="J528" s="209"/>
      <c r="K528" s="191"/>
      <c r="L528" s="363"/>
      <c r="M528" s="366"/>
      <c r="N528" s="366"/>
      <c r="O528" s="365"/>
      <c r="P528" s="365"/>
      <c r="Q528" s="192"/>
      <c r="S528" s="209"/>
      <c r="T528" s="209"/>
      <c r="U528" s="192"/>
      <c r="Z528" s="60"/>
      <c r="AA528" s="60"/>
      <c r="AB528" s="60"/>
      <c r="AC528" s="60"/>
      <c r="AD528" s="60"/>
      <c r="AE528" s="60"/>
      <c r="AF528" s="60"/>
      <c r="AG528" s="60"/>
      <c r="AH528" s="60"/>
      <c r="AI528" s="60"/>
      <c r="AJ528" s="60"/>
      <c r="AR528" s="60"/>
      <c r="AS528" s="60"/>
      <c r="AT528" s="60"/>
      <c r="AU528" s="60"/>
      <c r="AV528" s="60"/>
      <c r="AW528" s="60"/>
      <c r="AX528" s="60"/>
      <c r="AY528" s="60"/>
    </row>
    <row r="529" spans="2:51" s="59" customFormat="1">
      <c r="B529" s="203"/>
      <c r="D529" s="186"/>
      <c r="F529" s="209"/>
      <c r="G529" s="209"/>
      <c r="H529" s="209"/>
      <c r="I529" s="209"/>
      <c r="J529" s="209"/>
      <c r="K529" s="191"/>
      <c r="L529" s="363"/>
      <c r="M529" s="366"/>
      <c r="N529" s="366"/>
      <c r="O529" s="365"/>
      <c r="P529" s="365"/>
      <c r="Q529" s="192"/>
      <c r="S529" s="209"/>
      <c r="T529" s="209"/>
      <c r="U529" s="192"/>
      <c r="Z529" s="60"/>
      <c r="AA529" s="60"/>
      <c r="AB529" s="60"/>
      <c r="AC529" s="60"/>
      <c r="AD529" s="60"/>
      <c r="AE529" s="60"/>
      <c r="AF529" s="60"/>
      <c r="AG529" s="60"/>
      <c r="AH529" s="60"/>
      <c r="AI529" s="60"/>
      <c r="AJ529" s="60"/>
      <c r="AR529" s="60"/>
      <c r="AS529" s="60"/>
      <c r="AT529" s="60"/>
      <c r="AU529" s="60"/>
      <c r="AV529" s="60"/>
      <c r="AW529" s="60"/>
      <c r="AX529" s="60"/>
      <c r="AY529" s="60"/>
    </row>
    <row r="530" spans="2:51" s="59" customFormat="1">
      <c r="B530" s="203"/>
      <c r="D530" s="186"/>
      <c r="F530" s="209"/>
      <c r="G530" s="209"/>
      <c r="H530" s="209"/>
      <c r="I530" s="209"/>
      <c r="J530" s="209"/>
      <c r="K530" s="191"/>
      <c r="L530" s="363"/>
      <c r="M530" s="366"/>
      <c r="N530" s="366"/>
      <c r="O530" s="365"/>
      <c r="P530" s="365"/>
      <c r="Q530" s="192"/>
      <c r="S530" s="209"/>
      <c r="T530" s="209"/>
      <c r="U530" s="192"/>
      <c r="Z530" s="60"/>
      <c r="AA530" s="60"/>
      <c r="AB530" s="60"/>
      <c r="AC530" s="60"/>
      <c r="AD530" s="60"/>
      <c r="AE530" s="60"/>
      <c r="AF530" s="60"/>
      <c r="AG530" s="60"/>
      <c r="AH530" s="60"/>
      <c r="AI530" s="60"/>
      <c r="AJ530" s="60"/>
      <c r="AR530" s="60"/>
      <c r="AS530" s="60"/>
      <c r="AT530" s="60"/>
      <c r="AU530" s="60"/>
      <c r="AV530" s="60"/>
      <c r="AW530" s="60"/>
      <c r="AX530" s="60"/>
      <c r="AY530" s="60"/>
    </row>
    <row r="531" spans="2:51" s="59" customFormat="1">
      <c r="B531" s="203"/>
      <c r="D531" s="186"/>
      <c r="F531" s="209"/>
      <c r="G531" s="209"/>
      <c r="H531" s="209"/>
      <c r="I531" s="209"/>
      <c r="J531" s="209"/>
      <c r="K531" s="191"/>
      <c r="L531" s="363"/>
      <c r="M531" s="366"/>
      <c r="N531" s="366"/>
      <c r="O531" s="365"/>
      <c r="P531" s="365"/>
      <c r="Q531" s="192"/>
      <c r="S531" s="209"/>
      <c r="T531" s="209"/>
      <c r="U531" s="192"/>
      <c r="Z531" s="60"/>
      <c r="AA531" s="60"/>
      <c r="AB531" s="60"/>
      <c r="AC531" s="60"/>
      <c r="AD531" s="60"/>
      <c r="AE531" s="60"/>
      <c r="AF531" s="60"/>
      <c r="AG531" s="60"/>
      <c r="AH531" s="60"/>
      <c r="AI531" s="60"/>
      <c r="AJ531" s="60"/>
      <c r="AR531" s="60"/>
      <c r="AS531" s="60"/>
      <c r="AT531" s="60"/>
      <c r="AU531" s="60"/>
      <c r="AV531" s="60"/>
      <c r="AW531" s="60"/>
      <c r="AX531" s="60"/>
      <c r="AY531" s="60"/>
    </row>
    <row r="532" spans="2:51" s="59" customFormat="1">
      <c r="B532" s="203"/>
      <c r="D532" s="186"/>
      <c r="F532" s="209"/>
      <c r="G532" s="209"/>
      <c r="H532" s="209"/>
      <c r="I532" s="209"/>
      <c r="J532" s="209"/>
      <c r="K532" s="191"/>
      <c r="L532" s="363"/>
      <c r="M532" s="366"/>
      <c r="N532" s="366"/>
      <c r="O532" s="365"/>
      <c r="P532" s="365"/>
      <c r="Q532" s="192"/>
      <c r="S532" s="209"/>
      <c r="T532" s="209"/>
      <c r="U532" s="192"/>
      <c r="Z532" s="60"/>
      <c r="AA532" s="60"/>
      <c r="AB532" s="60"/>
      <c r="AC532" s="60"/>
      <c r="AD532" s="60"/>
      <c r="AE532" s="60"/>
      <c r="AF532" s="60"/>
      <c r="AG532" s="60"/>
      <c r="AH532" s="60"/>
      <c r="AI532" s="60"/>
      <c r="AJ532" s="60"/>
      <c r="AR532" s="60"/>
      <c r="AS532" s="60"/>
      <c r="AT532" s="60"/>
      <c r="AU532" s="60"/>
      <c r="AV532" s="60"/>
      <c r="AW532" s="60"/>
      <c r="AX532" s="60"/>
      <c r="AY532" s="60"/>
    </row>
    <row r="533" spans="2:51" s="59" customFormat="1">
      <c r="B533" s="203"/>
      <c r="D533" s="186"/>
      <c r="F533" s="209"/>
      <c r="G533" s="209"/>
      <c r="H533" s="209"/>
      <c r="I533" s="209"/>
      <c r="J533" s="209"/>
      <c r="K533" s="191"/>
      <c r="L533" s="363"/>
      <c r="M533" s="366"/>
      <c r="N533" s="366"/>
      <c r="O533" s="365"/>
      <c r="P533" s="365"/>
      <c r="Q533" s="192"/>
      <c r="S533" s="209"/>
      <c r="T533" s="209"/>
      <c r="U533" s="192"/>
      <c r="Z533" s="60"/>
      <c r="AA533" s="60"/>
      <c r="AB533" s="60"/>
      <c r="AC533" s="60"/>
      <c r="AD533" s="60"/>
      <c r="AE533" s="60"/>
      <c r="AF533" s="60"/>
      <c r="AG533" s="60"/>
      <c r="AH533" s="60"/>
      <c r="AI533" s="60"/>
      <c r="AJ533" s="60"/>
      <c r="AR533" s="60"/>
      <c r="AS533" s="60"/>
      <c r="AT533" s="60"/>
      <c r="AU533" s="60"/>
      <c r="AV533" s="60"/>
      <c r="AW533" s="60"/>
      <c r="AX533" s="60"/>
      <c r="AY533" s="60"/>
    </row>
    <row r="534" spans="2:51" s="59" customFormat="1">
      <c r="B534" s="203"/>
      <c r="D534" s="186"/>
      <c r="F534" s="209"/>
      <c r="G534" s="209"/>
      <c r="H534" s="209"/>
      <c r="I534" s="209"/>
      <c r="J534" s="209"/>
      <c r="K534" s="191"/>
      <c r="L534" s="363"/>
      <c r="M534" s="366"/>
      <c r="N534" s="366"/>
      <c r="O534" s="365"/>
      <c r="P534" s="365"/>
      <c r="Q534" s="192"/>
      <c r="S534" s="209"/>
      <c r="T534" s="209"/>
      <c r="U534" s="192"/>
      <c r="Z534" s="60"/>
      <c r="AA534" s="60"/>
      <c r="AB534" s="60"/>
      <c r="AC534" s="60"/>
      <c r="AD534" s="60"/>
      <c r="AE534" s="60"/>
      <c r="AF534" s="60"/>
      <c r="AG534" s="60"/>
      <c r="AH534" s="60"/>
      <c r="AI534" s="60"/>
      <c r="AJ534" s="60"/>
      <c r="AR534" s="60"/>
      <c r="AS534" s="60"/>
      <c r="AT534" s="60"/>
      <c r="AU534" s="60"/>
      <c r="AV534" s="60"/>
      <c r="AW534" s="60"/>
      <c r="AX534" s="60"/>
      <c r="AY534" s="60"/>
    </row>
    <row r="535" spans="2:51" s="59" customFormat="1">
      <c r="B535" s="203"/>
      <c r="D535" s="186"/>
      <c r="F535" s="209"/>
      <c r="G535" s="209"/>
      <c r="H535" s="209"/>
      <c r="I535" s="209"/>
      <c r="J535" s="209"/>
      <c r="K535" s="191"/>
      <c r="L535" s="363"/>
      <c r="M535" s="366"/>
      <c r="N535" s="366"/>
      <c r="O535" s="365"/>
      <c r="P535" s="365"/>
      <c r="Q535" s="192"/>
      <c r="S535" s="209"/>
      <c r="T535" s="209"/>
      <c r="U535" s="192"/>
      <c r="Z535" s="60"/>
      <c r="AA535" s="60"/>
      <c r="AB535" s="60"/>
      <c r="AC535" s="60"/>
      <c r="AD535" s="60"/>
      <c r="AE535" s="60"/>
      <c r="AF535" s="60"/>
      <c r="AG535" s="60"/>
      <c r="AH535" s="60"/>
      <c r="AI535" s="60"/>
      <c r="AJ535" s="60"/>
      <c r="AR535" s="60"/>
      <c r="AS535" s="60"/>
      <c r="AT535" s="60"/>
      <c r="AU535" s="60"/>
      <c r="AV535" s="60"/>
      <c r="AW535" s="60"/>
      <c r="AX535" s="60"/>
      <c r="AY535" s="60"/>
    </row>
    <row r="536" spans="2:51" s="59" customFormat="1">
      <c r="B536" s="203"/>
      <c r="D536" s="186"/>
      <c r="F536" s="209"/>
      <c r="G536" s="209"/>
      <c r="H536" s="209"/>
      <c r="I536" s="209"/>
      <c r="J536" s="209"/>
      <c r="K536" s="191"/>
      <c r="L536" s="363"/>
      <c r="M536" s="366"/>
      <c r="N536" s="366"/>
      <c r="O536" s="365"/>
      <c r="P536" s="365"/>
      <c r="Q536" s="192"/>
      <c r="S536" s="209"/>
      <c r="T536" s="209"/>
      <c r="U536" s="192"/>
      <c r="Z536" s="60"/>
      <c r="AA536" s="60"/>
      <c r="AB536" s="60"/>
      <c r="AC536" s="60"/>
      <c r="AD536" s="60"/>
      <c r="AE536" s="60"/>
      <c r="AF536" s="60"/>
      <c r="AG536" s="60"/>
      <c r="AH536" s="60"/>
      <c r="AI536" s="60"/>
      <c r="AJ536" s="60"/>
      <c r="AR536" s="60"/>
      <c r="AS536" s="60"/>
      <c r="AT536" s="60"/>
      <c r="AU536" s="60"/>
      <c r="AV536" s="60"/>
      <c r="AW536" s="60"/>
      <c r="AX536" s="60"/>
      <c r="AY536" s="60"/>
    </row>
    <row r="537" spans="2:51" s="59" customFormat="1">
      <c r="B537" s="203"/>
      <c r="D537" s="186"/>
      <c r="F537" s="209"/>
      <c r="G537" s="209"/>
      <c r="H537" s="209"/>
      <c r="I537" s="209"/>
      <c r="J537" s="209"/>
      <c r="K537" s="191"/>
      <c r="L537" s="363"/>
      <c r="M537" s="366"/>
      <c r="N537" s="366"/>
      <c r="O537" s="365"/>
      <c r="P537" s="365"/>
      <c r="Q537" s="192"/>
      <c r="S537" s="209"/>
      <c r="T537" s="209"/>
      <c r="U537" s="192"/>
      <c r="Z537" s="60"/>
      <c r="AA537" s="60"/>
      <c r="AB537" s="60"/>
      <c r="AC537" s="60"/>
      <c r="AD537" s="60"/>
      <c r="AE537" s="60"/>
      <c r="AF537" s="60"/>
      <c r="AG537" s="60"/>
      <c r="AH537" s="60"/>
      <c r="AI537" s="60"/>
      <c r="AJ537" s="60"/>
      <c r="AR537" s="60"/>
      <c r="AS537" s="60"/>
      <c r="AT537" s="60"/>
      <c r="AU537" s="60"/>
      <c r="AV537" s="60"/>
      <c r="AW537" s="60"/>
      <c r="AX537" s="60"/>
      <c r="AY537" s="60"/>
    </row>
    <row r="538" spans="2:51" s="59" customFormat="1">
      <c r="B538" s="203"/>
      <c r="D538" s="186"/>
      <c r="F538" s="209"/>
      <c r="G538" s="209"/>
      <c r="H538" s="209"/>
      <c r="I538" s="209"/>
      <c r="J538" s="209"/>
      <c r="K538" s="191"/>
      <c r="L538" s="363"/>
      <c r="M538" s="366"/>
      <c r="N538" s="366"/>
      <c r="O538" s="365"/>
      <c r="P538" s="365"/>
      <c r="Q538" s="192"/>
      <c r="S538" s="209"/>
      <c r="T538" s="209"/>
      <c r="U538" s="192"/>
      <c r="Z538" s="60"/>
      <c r="AA538" s="60"/>
      <c r="AB538" s="60"/>
      <c r="AC538" s="60"/>
      <c r="AD538" s="60"/>
      <c r="AE538" s="60"/>
      <c r="AF538" s="60"/>
      <c r="AG538" s="60"/>
      <c r="AH538" s="60"/>
      <c r="AI538" s="60"/>
      <c r="AJ538" s="60"/>
      <c r="AR538" s="60"/>
      <c r="AS538" s="60"/>
      <c r="AT538" s="60"/>
      <c r="AU538" s="60"/>
      <c r="AV538" s="60"/>
      <c r="AW538" s="60"/>
      <c r="AX538" s="60"/>
      <c r="AY538" s="60"/>
    </row>
    <row r="539" spans="2:51" s="59" customFormat="1">
      <c r="B539" s="203"/>
      <c r="D539" s="186"/>
      <c r="F539" s="209"/>
      <c r="G539" s="209"/>
      <c r="H539" s="209"/>
      <c r="I539" s="209"/>
      <c r="J539" s="209"/>
      <c r="K539" s="191"/>
      <c r="L539" s="363"/>
      <c r="M539" s="366"/>
      <c r="N539" s="366"/>
      <c r="O539" s="365"/>
      <c r="P539" s="365"/>
      <c r="Q539" s="192"/>
      <c r="S539" s="209"/>
      <c r="T539" s="209"/>
      <c r="U539" s="192"/>
      <c r="Z539" s="60"/>
      <c r="AA539" s="60"/>
      <c r="AB539" s="60"/>
      <c r="AC539" s="60"/>
      <c r="AD539" s="60"/>
      <c r="AE539" s="60"/>
      <c r="AF539" s="60"/>
      <c r="AG539" s="60"/>
      <c r="AH539" s="60"/>
      <c r="AI539" s="60"/>
      <c r="AJ539" s="60"/>
      <c r="AR539" s="60"/>
      <c r="AS539" s="60"/>
      <c r="AT539" s="60"/>
      <c r="AU539" s="60"/>
      <c r="AV539" s="60"/>
      <c r="AW539" s="60"/>
      <c r="AX539" s="60"/>
      <c r="AY539" s="60"/>
    </row>
    <row r="540" spans="2:51" s="59" customFormat="1">
      <c r="B540" s="203"/>
      <c r="D540" s="186"/>
      <c r="F540" s="209"/>
      <c r="G540" s="209"/>
      <c r="H540" s="209"/>
      <c r="I540" s="209"/>
      <c r="J540" s="209"/>
      <c r="K540" s="191"/>
      <c r="L540" s="363"/>
      <c r="M540" s="366"/>
      <c r="N540" s="366"/>
      <c r="O540" s="365"/>
      <c r="P540" s="365"/>
      <c r="Q540" s="192"/>
      <c r="S540" s="209"/>
      <c r="T540" s="209"/>
      <c r="U540" s="192"/>
      <c r="Z540" s="60"/>
      <c r="AA540" s="60"/>
      <c r="AB540" s="60"/>
      <c r="AC540" s="60"/>
      <c r="AD540" s="60"/>
      <c r="AE540" s="60"/>
      <c r="AF540" s="60"/>
      <c r="AG540" s="60"/>
      <c r="AH540" s="60"/>
      <c r="AI540" s="60"/>
      <c r="AJ540" s="60"/>
      <c r="AR540" s="60"/>
      <c r="AS540" s="60"/>
      <c r="AT540" s="60"/>
      <c r="AU540" s="60"/>
      <c r="AV540" s="60"/>
      <c r="AW540" s="60"/>
      <c r="AX540" s="60"/>
      <c r="AY540" s="60"/>
    </row>
    <row r="541" spans="2:51" s="59" customFormat="1">
      <c r="B541" s="203"/>
      <c r="D541" s="186"/>
      <c r="F541" s="209"/>
      <c r="G541" s="209"/>
      <c r="H541" s="209"/>
      <c r="I541" s="209"/>
      <c r="J541" s="209"/>
      <c r="K541" s="191"/>
      <c r="L541" s="363"/>
      <c r="M541" s="366"/>
      <c r="N541" s="366"/>
      <c r="O541" s="365"/>
      <c r="P541" s="365"/>
      <c r="Q541" s="192"/>
      <c r="S541" s="209"/>
      <c r="T541" s="209"/>
      <c r="U541" s="192"/>
      <c r="Z541" s="60"/>
      <c r="AA541" s="60"/>
      <c r="AB541" s="60"/>
      <c r="AC541" s="60"/>
      <c r="AD541" s="60"/>
      <c r="AE541" s="60"/>
      <c r="AF541" s="60"/>
      <c r="AG541" s="60"/>
      <c r="AH541" s="60"/>
      <c r="AI541" s="60"/>
      <c r="AJ541" s="60"/>
      <c r="AR541" s="60"/>
      <c r="AS541" s="60"/>
      <c r="AT541" s="60"/>
      <c r="AU541" s="60"/>
      <c r="AV541" s="60"/>
      <c r="AW541" s="60"/>
      <c r="AX541" s="60"/>
      <c r="AY541" s="60"/>
    </row>
    <row r="542" spans="2:51" s="59" customFormat="1">
      <c r="B542" s="203"/>
      <c r="D542" s="186"/>
      <c r="F542" s="209"/>
      <c r="G542" s="209"/>
      <c r="H542" s="209"/>
      <c r="I542" s="209"/>
      <c r="J542" s="209"/>
      <c r="K542" s="191"/>
      <c r="L542" s="363"/>
      <c r="M542" s="366"/>
      <c r="N542" s="366"/>
      <c r="O542" s="365"/>
      <c r="P542" s="365"/>
      <c r="Q542" s="192"/>
      <c r="S542" s="209"/>
      <c r="T542" s="209"/>
      <c r="U542" s="192"/>
      <c r="Z542" s="60"/>
      <c r="AA542" s="60"/>
      <c r="AB542" s="60"/>
      <c r="AC542" s="60"/>
      <c r="AD542" s="60"/>
      <c r="AE542" s="60"/>
      <c r="AF542" s="60"/>
      <c r="AG542" s="60"/>
      <c r="AH542" s="60"/>
      <c r="AI542" s="60"/>
      <c r="AJ542" s="60"/>
      <c r="AR542" s="60"/>
      <c r="AS542" s="60"/>
      <c r="AT542" s="60"/>
      <c r="AU542" s="60"/>
      <c r="AV542" s="60"/>
      <c r="AW542" s="60"/>
      <c r="AX542" s="60"/>
      <c r="AY542" s="60"/>
    </row>
    <row r="543" spans="2:51" s="59" customFormat="1">
      <c r="B543" s="203"/>
      <c r="D543" s="186"/>
      <c r="F543" s="209"/>
      <c r="G543" s="209"/>
      <c r="H543" s="209"/>
      <c r="I543" s="209"/>
      <c r="J543" s="209"/>
      <c r="K543" s="191"/>
      <c r="L543" s="363"/>
      <c r="M543" s="366"/>
      <c r="N543" s="366"/>
      <c r="O543" s="365"/>
      <c r="P543" s="365"/>
      <c r="Q543" s="192"/>
      <c r="S543" s="209"/>
      <c r="T543" s="209"/>
      <c r="U543" s="192"/>
      <c r="Z543" s="60"/>
      <c r="AA543" s="60"/>
      <c r="AB543" s="60"/>
      <c r="AC543" s="60"/>
      <c r="AD543" s="60"/>
      <c r="AE543" s="60"/>
      <c r="AF543" s="60"/>
      <c r="AG543" s="60"/>
      <c r="AH543" s="60"/>
      <c r="AI543" s="60"/>
      <c r="AJ543" s="60"/>
      <c r="AR543" s="60"/>
      <c r="AS543" s="60"/>
      <c r="AT543" s="60"/>
      <c r="AU543" s="60"/>
      <c r="AV543" s="60"/>
      <c r="AW543" s="60"/>
      <c r="AX543" s="60"/>
      <c r="AY543" s="60"/>
    </row>
    <row r="544" spans="2:51" s="59" customFormat="1">
      <c r="B544" s="203"/>
      <c r="D544" s="186"/>
      <c r="F544" s="209"/>
      <c r="G544" s="209"/>
      <c r="H544" s="209"/>
      <c r="I544" s="209"/>
      <c r="J544" s="209"/>
      <c r="K544" s="191"/>
      <c r="L544" s="363"/>
      <c r="M544" s="366"/>
      <c r="N544" s="366"/>
      <c r="O544" s="365"/>
      <c r="P544" s="365"/>
      <c r="Q544" s="192"/>
      <c r="S544" s="209"/>
      <c r="T544" s="209"/>
      <c r="U544" s="192"/>
      <c r="Z544" s="60"/>
      <c r="AA544" s="60"/>
      <c r="AB544" s="60"/>
      <c r="AC544" s="60"/>
      <c r="AD544" s="60"/>
      <c r="AE544" s="60"/>
      <c r="AF544" s="60"/>
      <c r="AG544" s="60"/>
      <c r="AH544" s="60"/>
      <c r="AI544" s="60"/>
      <c r="AJ544" s="60"/>
      <c r="AR544" s="60"/>
      <c r="AS544" s="60"/>
      <c r="AT544" s="60"/>
      <c r="AU544" s="60"/>
      <c r="AV544" s="60"/>
      <c r="AW544" s="60"/>
      <c r="AX544" s="60"/>
      <c r="AY544" s="60"/>
    </row>
    <row r="545" spans="2:51" s="59" customFormat="1">
      <c r="B545" s="203"/>
      <c r="D545" s="186"/>
      <c r="F545" s="209"/>
      <c r="G545" s="209"/>
      <c r="H545" s="209"/>
      <c r="I545" s="209"/>
      <c r="J545" s="209"/>
      <c r="K545" s="191"/>
      <c r="L545" s="363"/>
      <c r="M545" s="366"/>
      <c r="N545" s="366"/>
      <c r="O545" s="365"/>
      <c r="P545" s="365"/>
      <c r="Q545" s="192"/>
      <c r="S545" s="209"/>
      <c r="T545" s="209"/>
      <c r="U545" s="192"/>
      <c r="Z545" s="60"/>
      <c r="AA545" s="60"/>
      <c r="AB545" s="60"/>
      <c r="AC545" s="60"/>
      <c r="AD545" s="60"/>
      <c r="AE545" s="60"/>
      <c r="AF545" s="60"/>
      <c r="AG545" s="60"/>
      <c r="AH545" s="60"/>
      <c r="AI545" s="60"/>
      <c r="AJ545" s="60"/>
      <c r="AR545" s="60"/>
      <c r="AS545" s="60"/>
      <c r="AT545" s="60"/>
      <c r="AU545" s="60"/>
      <c r="AV545" s="60"/>
      <c r="AW545" s="60"/>
      <c r="AX545" s="60"/>
      <c r="AY545" s="60"/>
    </row>
    <row r="546" spans="2:51" s="59" customFormat="1">
      <c r="B546" s="203"/>
      <c r="D546" s="186"/>
      <c r="F546" s="209"/>
      <c r="G546" s="209"/>
      <c r="H546" s="209"/>
      <c r="I546" s="209"/>
      <c r="J546" s="209"/>
      <c r="K546" s="191"/>
      <c r="L546" s="363"/>
      <c r="M546" s="366"/>
      <c r="N546" s="366"/>
      <c r="O546" s="365"/>
      <c r="P546" s="365"/>
      <c r="Q546" s="192"/>
      <c r="S546" s="209"/>
      <c r="T546" s="209"/>
      <c r="U546" s="192"/>
      <c r="Z546" s="60"/>
      <c r="AA546" s="60"/>
      <c r="AB546" s="60"/>
      <c r="AC546" s="60"/>
      <c r="AD546" s="60"/>
      <c r="AE546" s="60"/>
      <c r="AF546" s="60"/>
      <c r="AG546" s="60"/>
      <c r="AH546" s="60"/>
      <c r="AI546" s="60"/>
      <c r="AJ546" s="60"/>
      <c r="AR546" s="60"/>
      <c r="AS546" s="60"/>
      <c r="AT546" s="60"/>
      <c r="AU546" s="60"/>
      <c r="AV546" s="60"/>
      <c r="AW546" s="60"/>
      <c r="AX546" s="60"/>
      <c r="AY546" s="60"/>
    </row>
    <row r="547" spans="2:51" s="59" customFormat="1">
      <c r="B547" s="203"/>
      <c r="D547" s="186"/>
      <c r="F547" s="209"/>
      <c r="G547" s="209"/>
      <c r="H547" s="209"/>
      <c r="I547" s="209"/>
      <c r="J547" s="209"/>
      <c r="K547" s="191"/>
      <c r="L547" s="363"/>
      <c r="M547" s="366"/>
      <c r="N547" s="366"/>
      <c r="O547" s="365"/>
      <c r="P547" s="365"/>
      <c r="Q547" s="192"/>
      <c r="S547" s="209"/>
      <c r="T547" s="209"/>
      <c r="U547" s="192"/>
      <c r="Z547" s="60"/>
      <c r="AA547" s="60"/>
      <c r="AB547" s="60"/>
      <c r="AC547" s="60"/>
      <c r="AD547" s="60"/>
      <c r="AE547" s="60"/>
      <c r="AF547" s="60"/>
      <c r="AG547" s="60"/>
      <c r="AH547" s="60"/>
      <c r="AI547" s="60"/>
      <c r="AJ547" s="60"/>
      <c r="AR547" s="60"/>
      <c r="AS547" s="60"/>
      <c r="AT547" s="60"/>
      <c r="AU547" s="60"/>
      <c r="AV547" s="60"/>
      <c r="AW547" s="60"/>
      <c r="AX547" s="60"/>
      <c r="AY547" s="60"/>
    </row>
    <row r="548" spans="2:51" s="59" customFormat="1">
      <c r="B548" s="203"/>
      <c r="D548" s="186"/>
      <c r="F548" s="209"/>
      <c r="G548" s="209"/>
      <c r="H548" s="209"/>
      <c r="I548" s="209"/>
      <c r="J548" s="209"/>
      <c r="K548" s="191"/>
      <c r="L548" s="363"/>
      <c r="M548" s="366"/>
      <c r="N548" s="366"/>
      <c r="O548" s="365"/>
      <c r="P548" s="365"/>
      <c r="Q548" s="192"/>
      <c r="S548" s="209"/>
      <c r="T548" s="209"/>
      <c r="U548" s="192"/>
      <c r="Z548" s="60"/>
      <c r="AA548" s="60"/>
      <c r="AB548" s="60"/>
      <c r="AC548" s="60"/>
      <c r="AD548" s="60"/>
      <c r="AE548" s="60"/>
      <c r="AF548" s="60"/>
      <c r="AG548" s="60"/>
      <c r="AH548" s="60"/>
      <c r="AI548" s="60"/>
      <c r="AJ548" s="60"/>
      <c r="AR548" s="60"/>
      <c r="AS548" s="60"/>
      <c r="AT548" s="60"/>
      <c r="AU548" s="60"/>
      <c r="AV548" s="60"/>
      <c r="AW548" s="60"/>
      <c r="AX548" s="60"/>
      <c r="AY548" s="60"/>
    </row>
    <row r="549" spans="2:51" s="59" customFormat="1">
      <c r="B549" s="203"/>
      <c r="D549" s="186"/>
      <c r="F549" s="209"/>
      <c r="G549" s="209"/>
      <c r="H549" s="209"/>
      <c r="I549" s="209"/>
      <c r="J549" s="209"/>
      <c r="K549" s="191"/>
      <c r="L549" s="363"/>
      <c r="M549" s="366"/>
      <c r="N549" s="366"/>
      <c r="O549" s="365"/>
      <c r="P549" s="365"/>
      <c r="Q549" s="192"/>
      <c r="S549" s="209"/>
      <c r="T549" s="209"/>
      <c r="U549" s="192"/>
      <c r="Z549" s="60"/>
      <c r="AA549" s="60"/>
      <c r="AB549" s="60"/>
      <c r="AC549" s="60"/>
      <c r="AD549" s="60"/>
      <c r="AE549" s="60"/>
      <c r="AF549" s="60"/>
      <c r="AG549" s="60"/>
      <c r="AH549" s="60"/>
      <c r="AI549" s="60"/>
      <c r="AJ549" s="60"/>
      <c r="AR549" s="60"/>
      <c r="AS549" s="60"/>
      <c r="AT549" s="60"/>
      <c r="AU549" s="60"/>
      <c r="AV549" s="60"/>
      <c r="AW549" s="60"/>
      <c r="AX549" s="60"/>
      <c r="AY549" s="60"/>
    </row>
    <row r="550" spans="2:51" s="59" customFormat="1">
      <c r="B550" s="203"/>
      <c r="D550" s="186"/>
      <c r="F550" s="209"/>
      <c r="G550" s="209"/>
      <c r="H550" s="209"/>
      <c r="I550" s="209"/>
      <c r="J550" s="209"/>
      <c r="K550" s="191"/>
      <c r="L550" s="363"/>
      <c r="M550" s="366"/>
      <c r="N550" s="366"/>
      <c r="O550" s="365"/>
      <c r="P550" s="365"/>
      <c r="Q550" s="192"/>
      <c r="S550" s="209"/>
      <c r="T550" s="209"/>
      <c r="U550" s="192"/>
      <c r="Z550" s="60"/>
      <c r="AA550" s="60"/>
      <c r="AB550" s="60"/>
      <c r="AC550" s="60"/>
      <c r="AD550" s="60"/>
      <c r="AE550" s="60"/>
      <c r="AF550" s="60"/>
      <c r="AG550" s="60"/>
      <c r="AH550" s="60"/>
      <c r="AI550" s="60"/>
      <c r="AJ550" s="60"/>
      <c r="AR550" s="60"/>
      <c r="AS550" s="60"/>
      <c r="AT550" s="60"/>
      <c r="AU550" s="60"/>
      <c r="AV550" s="60"/>
      <c r="AW550" s="60"/>
      <c r="AX550" s="60"/>
      <c r="AY550" s="60"/>
    </row>
    <row r="551" spans="2:51" s="59" customFormat="1">
      <c r="B551" s="203"/>
      <c r="D551" s="186"/>
      <c r="F551" s="209"/>
      <c r="G551" s="209"/>
      <c r="H551" s="209"/>
      <c r="I551" s="209"/>
      <c r="J551" s="209"/>
      <c r="K551" s="191"/>
      <c r="L551" s="363"/>
      <c r="M551" s="366"/>
      <c r="N551" s="366"/>
      <c r="O551" s="365"/>
      <c r="P551" s="365"/>
      <c r="Q551" s="192"/>
      <c r="S551" s="209"/>
      <c r="T551" s="209"/>
      <c r="U551" s="192"/>
      <c r="Z551" s="60"/>
      <c r="AA551" s="60"/>
      <c r="AB551" s="60"/>
      <c r="AC551" s="60"/>
      <c r="AD551" s="60"/>
      <c r="AE551" s="60"/>
      <c r="AF551" s="60"/>
      <c r="AG551" s="60"/>
      <c r="AH551" s="60"/>
      <c r="AI551" s="60"/>
      <c r="AJ551" s="60"/>
      <c r="AR551" s="60"/>
      <c r="AS551" s="60"/>
      <c r="AT551" s="60"/>
      <c r="AU551" s="60"/>
      <c r="AV551" s="60"/>
      <c r="AW551" s="60"/>
      <c r="AX551" s="60"/>
      <c r="AY551" s="60"/>
    </row>
    <row r="552" spans="2:51" s="59" customFormat="1">
      <c r="B552" s="203"/>
      <c r="D552" s="186"/>
      <c r="F552" s="209"/>
      <c r="G552" s="209"/>
      <c r="H552" s="209"/>
      <c r="I552" s="209"/>
      <c r="J552" s="209"/>
      <c r="K552" s="191"/>
      <c r="L552" s="363"/>
      <c r="M552" s="366"/>
      <c r="N552" s="366"/>
      <c r="O552" s="365"/>
      <c r="P552" s="365"/>
      <c r="Q552" s="192"/>
      <c r="S552" s="209"/>
      <c r="T552" s="209"/>
      <c r="U552" s="192"/>
      <c r="Z552" s="60"/>
      <c r="AA552" s="60"/>
      <c r="AB552" s="60"/>
      <c r="AC552" s="60"/>
      <c r="AD552" s="60"/>
      <c r="AE552" s="60"/>
      <c r="AF552" s="60"/>
      <c r="AG552" s="60"/>
      <c r="AH552" s="60"/>
      <c r="AI552" s="60"/>
      <c r="AJ552" s="60"/>
      <c r="AR552" s="60"/>
      <c r="AS552" s="60"/>
      <c r="AT552" s="60"/>
      <c r="AU552" s="60"/>
      <c r="AV552" s="60"/>
      <c r="AW552" s="60"/>
      <c r="AX552" s="60"/>
      <c r="AY552" s="60"/>
    </row>
    <row r="553" spans="2:51" s="59" customFormat="1">
      <c r="B553" s="203"/>
      <c r="D553" s="186"/>
      <c r="F553" s="209"/>
      <c r="G553" s="209"/>
      <c r="H553" s="209"/>
      <c r="I553" s="209"/>
      <c r="J553" s="209"/>
      <c r="K553" s="191"/>
      <c r="L553" s="363"/>
      <c r="M553" s="366"/>
      <c r="N553" s="366"/>
      <c r="O553" s="365"/>
      <c r="P553" s="365"/>
      <c r="Q553" s="192"/>
      <c r="S553" s="209"/>
      <c r="T553" s="209"/>
      <c r="U553" s="192"/>
      <c r="Z553" s="60"/>
      <c r="AA553" s="60"/>
      <c r="AB553" s="60"/>
      <c r="AC553" s="60"/>
      <c r="AD553" s="60"/>
      <c r="AE553" s="60"/>
      <c r="AF553" s="60"/>
      <c r="AG553" s="60"/>
      <c r="AH553" s="60"/>
      <c r="AI553" s="60"/>
      <c r="AJ553" s="60"/>
      <c r="AR553" s="60"/>
      <c r="AS553" s="60"/>
      <c r="AT553" s="60"/>
      <c r="AU553" s="60"/>
      <c r="AV553" s="60"/>
      <c r="AW553" s="60"/>
      <c r="AX553" s="60"/>
      <c r="AY553" s="60"/>
    </row>
    <row r="554" spans="2:51" s="59" customFormat="1">
      <c r="B554" s="203"/>
      <c r="D554" s="186"/>
      <c r="F554" s="209"/>
      <c r="G554" s="209"/>
      <c r="H554" s="209"/>
      <c r="I554" s="209"/>
      <c r="J554" s="209"/>
      <c r="K554" s="191"/>
      <c r="L554" s="363"/>
      <c r="M554" s="366"/>
      <c r="N554" s="366"/>
      <c r="O554" s="365"/>
      <c r="P554" s="365"/>
      <c r="Q554" s="192"/>
      <c r="S554" s="209"/>
      <c r="T554" s="209"/>
      <c r="U554" s="192"/>
      <c r="Z554" s="60"/>
      <c r="AA554" s="60"/>
      <c r="AB554" s="60"/>
      <c r="AC554" s="60"/>
      <c r="AD554" s="60"/>
      <c r="AE554" s="60"/>
      <c r="AF554" s="60"/>
      <c r="AG554" s="60"/>
      <c r="AH554" s="60"/>
      <c r="AI554" s="60"/>
      <c r="AJ554" s="60"/>
      <c r="AR554" s="60"/>
      <c r="AS554" s="60"/>
      <c r="AT554" s="60"/>
      <c r="AU554" s="60"/>
      <c r="AV554" s="60"/>
      <c r="AW554" s="60"/>
      <c r="AX554" s="60"/>
      <c r="AY554" s="60"/>
    </row>
    <row r="555" spans="2:51" s="59" customFormat="1">
      <c r="B555" s="203"/>
      <c r="D555" s="186"/>
      <c r="F555" s="209"/>
      <c r="G555" s="209"/>
      <c r="H555" s="209"/>
      <c r="I555" s="209"/>
      <c r="J555" s="209"/>
      <c r="K555" s="191"/>
      <c r="L555" s="363"/>
      <c r="M555" s="366"/>
      <c r="N555" s="366"/>
      <c r="O555" s="365"/>
      <c r="P555" s="365"/>
      <c r="Q555" s="192"/>
      <c r="S555" s="209"/>
      <c r="T555" s="209"/>
      <c r="U555" s="192"/>
      <c r="Z555" s="60"/>
      <c r="AA555" s="60"/>
      <c r="AB555" s="60"/>
      <c r="AC555" s="60"/>
      <c r="AD555" s="60"/>
      <c r="AE555" s="60"/>
      <c r="AF555" s="60"/>
      <c r="AG555" s="60"/>
      <c r="AH555" s="60"/>
      <c r="AI555" s="60"/>
      <c r="AJ555" s="60"/>
      <c r="AR555" s="60"/>
      <c r="AS555" s="60"/>
      <c r="AT555" s="60"/>
      <c r="AU555" s="60"/>
      <c r="AV555" s="60"/>
      <c r="AW555" s="60"/>
      <c r="AX555" s="60"/>
      <c r="AY555" s="60"/>
    </row>
    <row r="556" spans="2:51" s="59" customFormat="1">
      <c r="B556" s="203"/>
      <c r="D556" s="186"/>
      <c r="F556" s="209"/>
      <c r="G556" s="209"/>
      <c r="H556" s="209"/>
      <c r="I556" s="209"/>
      <c r="J556" s="209"/>
      <c r="K556" s="191"/>
      <c r="L556" s="363"/>
      <c r="M556" s="366"/>
      <c r="N556" s="366"/>
      <c r="O556" s="365"/>
      <c r="P556" s="365"/>
      <c r="Q556" s="192"/>
      <c r="S556" s="209"/>
      <c r="T556" s="209"/>
      <c r="U556" s="192"/>
      <c r="Z556" s="60"/>
      <c r="AA556" s="60"/>
      <c r="AB556" s="60"/>
      <c r="AC556" s="60"/>
      <c r="AD556" s="60"/>
      <c r="AE556" s="60"/>
      <c r="AF556" s="60"/>
      <c r="AG556" s="60"/>
      <c r="AH556" s="60"/>
      <c r="AI556" s="60"/>
      <c r="AJ556" s="60"/>
      <c r="AR556" s="60"/>
      <c r="AS556" s="60"/>
      <c r="AT556" s="60"/>
      <c r="AU556" s="60"/>
      <c r="AV556" s="60"/>
      <c r="AW556" s="60"/>
      <c r="AX556" s="60"/>
      <c r="AY556" s="60"/>
    </row>
    <row r="557" spans="2:51" s="59" customFormat="1">
      <c r="B557" s="203"/>
      <c r="D557" s="186"/>
      <c r="F557" s="209"/>
      <c r="G557" s="209"/>
      <c r="H557" s="209"/>
      <c r="I557" s="209"/>
      <c r="J557" s="209"/>
      <c r="K557" s="191"/>
      <c r="L557" s="363"/>
      <c r="M557" s="366"/>
      <c r="N557" s="366"/>
      <c r="O557" s="365"/>
      <c r="P557" s="365"/>
      <c r="Q557" s="192"/>
      <c r="S557" s="209"/>
      <c r="T557" s="209"/>
      <c r="U557" s="192"/>
      <c r="Z557" s="60"/>
      <c r="AA557" s="60"/>
      <c r="AB557" s="60"/>
      <c r="AC557" s="60"/>
      <c r="AD557" s="60"/>
      <c r="AE557" s="60"/>
      <c r="AF557" s="60"/>
      <c r="AG557" s="60"/>
      <c r="AH557" s="60"/>
      <c r="AI557" s="60"/>
      <c r="AJ557" s="60"/>
      <c r="AR557" s="60"/>
      <c r="AS557" s="60"/>
      <c r="AT557" s="60"/>
      <c r="AU557" s="60"/>
      <c r="AV557" s="60"/>
      <c r="AW557" s="60"/>
      <c r="AX557" s="60"/>
      <c r="AY557" s="60"/>
    </row>
    <row r="558" spans="2:51" s="59" customFormat="1">
      <c r="B558" s="203"/>
      <c r="D558" s="186"/>
      <c r="F558" s="209"/>
      <c r="G558" s="209"/>
      <c r="H558" s="209"/>
      <c r="I558" s="209"/>
      <c r="J558" s="209"/>
      <c r="K558" s="191"/>
      <c r="L558" s="363"/>
      <c r="M558" s="366"/>
      <c r="N558" s="366"/>
      <c r="O558" s="365"/>
      <c r="P558" s="365"/>
      <c r="Q558" s="192"/>
      <c r="S558" s="209"/>
      <c r="T558" s="209"/>
      <c r="U558" s="192"/>
      <c r="Z558" s="60"/>
      <c r="AA558" s="60"/>
      <c r="AB558" s="60"/>
      <c r="AC558" s="60"/>
      <c r="AD558" s="60"/>
      <c r="AE558" s="60"/>
      <c r="AF558" s="60"/>
      <c r="AG558" s="60"/>
      <c r="AH558" s="60"/>
      <c r="AI558" s="60"/>
      <c r="AJ558" s="60"/>
      <c r="AR558" s="60"/>
      <c r="AS558" s="60"/>
      <c r="AT558" s="60"/>
      <c r="AU558" s="60"/>
      <c r="AV558" s="60"/>
      <c r="AW558" s="60"/>
      <c r="AX558" s="60"/>
      <c r="AY558" s="60"/>
    </row>
    <row r="559" spans="2:51" s="59" customFormat="1">
      <c r="B559" s="203"/>
      <c r="D559" s="186"/>
      <c r="F559" s="209"/>
      <c r="G559" s="209"/>
      <c r="H559" s="209"/>
      <c r="I559" s="209"/>
      <c r="J559" s="209"/>
      <c r="K559" s="191"/>
      <c r="L559" s="363"/>
      <c r="M559" s="366"/>
      <c r="N559" s="366"/>
      <c r="O559" s="365"/>
      <c r="P559" s="365"/>
      <c r="Q559" s="192"/>
      <c r="S559" s="209"/>
      <c r="T559" s="209"/>
      <c r="U559" s="192"/>
      <c r="Z559" s="60"/>
      <c r="AA559" s="60"/>
      <c r="AB559" s="60"/>
      <c r="AC559" s="60"/>
      <c r="AD559" s="60"/>
      <c r="AE559" s="60"/>
      <c r="AF559" s="60"/>
      <c r="AG559" s="60"/>
      <c r="AH559" s="60"/>
      <c r="AI559" s="60"/>
      <c r="AJ559" s="60"/>
      <c r="AR559" s="60"/>
      <c r="AS559" s="60"/>
      <c r="AT559" s="60"/>
      <c r="AU559" s="60"/>
      <c r="AV559" s="60"/>
      <c r="AW559" s="60"/>
      <c r="AX559" s="60"/>
      <c r="AY559" s="60"/>
    </row>
    <row r="560" spans="2:51" s="59" customFormat="1">
      <c r="B560" s="203"/>
      <c r="D560" s="186"/>
      <c r="F560" s="209"/>
      <c r="G560" s="209"/>
      <c r="H560" s="209"/>
      <c r="I560" s="209"/>
      <c r="J560" s="209"/>
      <c r="K560" s="191"/>
      <c r="L560" s="363"/>
      <c r="M560" s="366"/>
      <c r="N560" s="366"/>
      <c r="O560" s="365"/>
      <c r="P560" s="365"/>
      <c r="Q560" s="192"/>
      <c r="S560" s="209"/>
      <c r="T560" s="209"/>
      <c r="U560" s="192"/>
      <c r="Z560" s="60"/>
      <c r="AA560" s="60"/>
      <c r="AB560" s="60"/>
      <c r="AC560" s="60"/>
      <c r="AD560" s="60"/>
      <c r="AE560" s="60"/>
      <c r="AF560" s="60"/>
      <c r="AG560" s="60"/>
      <c r="AH560" s="60"/>
      <c r="AI560" s="60"/>
      <c r="AJ560" s="60"/>
      <c r="AR560" s="60"/>
      <c r="AS560" s="60"/>
      <c r="AT560" s="60"/>
      <c r="AU560" s="60"/>
      <c r="AV560" s="60"/>
      <c r="AW560" s="60"/>
      <c r="AX560" s="60"/>
      <c r="AY560" s="60"/>
    </row>
    <row r="561" spans="2:51" s="59" customFormat="1">
      <c r="B561" s="203"/>
      <c r="D561" s="186"/>
      <c r="F561" s="209"/>
      <c r="G561" s="209"/>
      <c r="H561" s="209"/>
      <c r="I561" s="209"/>
      <c r="J561" s="209"/>
      <c r="K561" s="191"/>
      <c r="L561" s="363"/>
      <c r="M561" s="366"/>
      <c r="N561" s="366"/>
      <c r="O561" s="365"/>
      <c r="P561" s="365"/>
      <c r="Q561" s="192"/>
      <c r="S561" s="209"/>
      <c r="T561" s="209"/>
      <c r="U561" s="192"/>
      <c r="Z561" s="60"/>
      <c r="AA561" s="60"/>
      <c r="AB561" s="60"/>
      <c r="AC561" s="60"/>
      <c r="AD561" s="60"/>
      <c r="AE561" s="60"/>
      <c r="AF561" s="60"/>
      <c r="AG561" s="60"/>
      <c r="AH561" s="60"/>
      <c r="AI561" s="60"/>
      <c r="AJ561" s="60"/>
      <c r="AR561" s="60"/>
      <c r="AS561" s="60"/>
      <c r="AT561" s="60"/>
      <c r="AU561" s="60"/>
      <c r="AV561" s="60"/>
      <c r="AW561" s="60"/>
      <c r="AX561" s="60"/>
      <c r="AY561" s="60"/>
    </row>
    <row r="562" spans="2:51" s="59" customFormat="1">
      <c r="B562" s="203"/>
      <c r="D562" s="186"/>
      <c r="F562" s="209"/>
      <c r="G562" s="209"/>
      <c r="H562" s="209"/>
      <c r="I562" s="209"/>
      <c r="J562" s="209"/>
      <c r="K562" s="191"/>
      <c r="L562" s="363"/>
      <c r="M562" s="366"/>
      <c r="N562" s="366"/>
      <c r="O562" s="365"/>
      <c r="P562" s="365"/>
      <c r="Q562" s="192"/>
      <c r="S562" s="209"/>
      <c r="T562" s="209"/>
      <c r="U562" s="192"/>
      <c r="Z562" s="60"/>
      <c r="AA562" s="60"/>
      <c r="AB562" s="60"/>
      <c r="AC562" s="60"/>
      <c r="AD562" s="60"/>
      <c r="AE562" s="60"/>
      <c r="AF562" s="60"/>
      <c r="AG562" s="60"/>
      <c r="AH562" s="60"/>
      <c r="AI562" s="60"/>
      <c r="AJ562" s="60"/>
      <c r="AR562" s="60"/>
      <c r="AS562" s="60"/>
      <c r="AT562" s="60"/>
      <c r="AU562" s="60"/>
      <c r="AV562" s="60"/>
      <c r="AW562" s="60"/>
      <c r="AX562" s="60"/>
      <c r="AY562" s="60"/>
    </row>
    <row r="563" spans="2:51" s="59" customFormat="1">
      <c r="B563" s="203"/>
      <c r="D563" s="186"/>
      <c r="F563" s="209"/>
      <c r="G563" s="209"/>
      <c r="H563" s="209"/>
      <c r="I563" s="209"/>
      <c r="J563" s="209"/>
      <c r="K563" s="191"/>
      <c r="L563" s="363"/>
      <c r="M563" s="366"/>
      <c r="N563" s="366"/>
      <c r="O563" s="365"/>
      <c r="P563" s="365"/>
      <c r="Q563" s="192"/>
      <c r="S563" s="209"/>
      <c r="T563" s="209"/>
      <c r="U563" s="192"/>
      <c r="Z563" s="60"/>
      <c r="AA563" s="60"/>
      <c r="AB563" s="60"/>
      <c r="AC563" s="60"/>
      <c r="AD563" s="60"/>
      <c r="AE563" s="60"/>
      <c r="AF563" s="60"/>
      <c r="AG563" s="60"/>
      <c r="AH563" s="60"/>
      <c r="AI563" s="60"/>
      <c r="AJ563" s="60"/>
      <c r="AR563" s="60"/>
      <c r="AS563" s="60"/>
      <c r="AT563" s="60"/>
      <c r="AU563" s="60"/>
      <c r="AV563" s="60"/>
      <c r="AW563" s="60"/>
      <c r="AX563" s="60"/>
      <c r="AY563" s="60"/>
    </row>
    <row r="564" spans="2:51" s="59" customFormat="1">
      <c r="B564" s="203"/>
      <c r="D564" s="186"/>
      <c r="F564" s="209"/>
      <c r="G564" s="209"/>
      <c r="H564" s="209"/>
      <c r="I564" s="209"/>
      <c r="J564" s="209"/>
      <c r="K564" s="191"/>
      <c r="L564" s="363"/>
      <c r="M564" s="366"/>
      <c r="N564" s="366"/>
      <c r="O564" s="365"/>
      <c r="P564" s="365"/>
      <c r="Q564" s="192"/>
      <c r="S564" s="209"/>
      <c r="T564" s="209"/>
      <c r="U564" s="192"/>
      <c r="Z564" s="60"/>
      <c r="AA564" s="60"/>
      <c r="AB564" s="60"/>
      <c r="AC564" s="60"/>
      <c r="AD564" s="60"/>
      <c r="AE564" s="60"/>
      <c r="AF564" s="60"/>
      <c r="AG564" s="60"/>
      <c r="AH564" s="60"/>
      <c r="AI564" s="60"/>
      <c r="AJ564" s="60"/>
      <c r="AR564" s="60"/>
      <c r="AS564" s="60"/>
      <c r="AT564" s="60"/>
      <c r="AU564" s="60"/>
      <c r="AV564" s="60"/>
      <c r="AW564" s="60"/>
      <c r="AX564" s="60"/>
      <c r="AY564" s="60"/>
    </row>
    <row r="565" spans="2:51" s="59" customFormat="1">
      <c r="B565" s="203"/>
      <c r="D565" s="186"/>
      <c r="F565" s="209"/>
      <c r="G565" s="209"/>
      <c r="H565" s="209"/>
      <c r="I565" s="209"/>
      <c r="J565" s="209"/>
      <c r="K565" s="191"/>
      <c r="L565" s="363"/>
      <c r="M565" s="366"/>
      <c r="N565" s="366"/>
      <c r="O565" s="365"/>
      <c r="P565" s="365"/>
      <c r="Q565" s="192"/>
      <c r="S565" s="209"/>
      <c r="T565" s="209"/>
      <c r="U565" s="192"/>
      <c r="Z565" s="60"/>
      <c r="AA565" s="60"/>
      <c r="AB565" s="60"/>
      <c r="AC565" s="60"/>
      <c r="AD565" s="60"/>
      <c r="AE565" s="60"/>
      <c r="AF565" s="60"/>
      <c r="AG565" s="60"/>
      <c r="AH565" s="60"/>
      <c r="AI565" s="60"/>
      <c r="AJ565" s="60"/>
      <c r="AR565" s="60"/>
      <c r="AS565" s="60"/>
      <c r="AT565" s="60"/>
      <c r="AU565" s="60"/>
      <c r="AV565" s="60"/>
      <c r="AW565" s="60"/>
      <c r="AX565" s="60"/>
      <c r="AY565" s="60"/>
    </row>
    <row r="566" spans="2:51" s="59" customFormat="1">
      <c r="B566" s="203"/>
      <c r="D566" s="186"/>
      <c r="F566" s="209"/>
      <c r="G566" s="209"/>
      <c r="H566" s="209"/>
      <c r="I566" s="209"/>
      <c r="J566" s="209"/>
      <c r="K566" s="191"/>
      <c r="L566" s="363"/>
      <c r="M566" s="366"/>
      <c r="N566" s="366"/>
      <c r="O566" s="365"/>
      <c r="P566" s="365"/>
      <c r="Q566" s="192"/>
      <c r="S566" s="209"/>
      <c r="T566" s="209"/>
      <c r="U566" s="192"/>
      <c r="Z566" s="60"/>
      <c r="AA566" s="60"/>
      <c r="AB566" s="60"/>
      <c r="AC566" s="60"/>
      <c r="AD566" s="60"/>
      <c r="AE566" s="60"/>
      <c r="AF566" s="60"/>
      <c r="AG566" s="60"/>
      <c r="AH566" s="60"/>
      <c r="AI566" s="60"/>
      <c r="AJ566" s="60"/>
      <c r="AR566" s="60"/>
      <c r="AS566" s="60"/>
      <c r="AT566" s="60"/>
      <c r="AU566" s="60"/>
      <c r="AV566" s="60"/>
      <c r="AW566" s="60"/>
      <c r="AX566" s="60"/>
      <c r="AY566" s="60"/>
    </row>
    <row r="567" spans="2:51" s="59" customFormat="1">
      <c r="B567" s="203"/>
      <c r="D567" s="186"/>
      <c r="F567" s="209"/>
      <c r="G567" s="209"/>
      <c r="H567" s="209"/>
      <c r="I567" s="209"/>
      <c r="J567" s="209"/>
      <c r="K567" s="191"/>
      <c r="L567" s="363"/>
      <c r="M567" s="366"/>
      <c r="N567" s="366"/>
      <c r="O567" s="365"/>
      <c r="P567" s="365"/>
      <c r="Q567" s="192"/>
      <c r="S567" s="209"/>
      <c r="T567" s="209"/>
      <c r="U567" s="192"/>
      <c r="Z567" s="60"/>
      <c r="AA567" s="60"/>
      <c r="AB567" s="60"/>
      <c r="AC567" s="60"/>
      <c r="AD567" s="60"/>
      <c r="AE567" s="60"/>
      <c r="AF567" s="60"/>
      <c r="AG567" s="60"/>
      <c r="AH567" s="60"/>
      <c r="AI567" s="60"/>
      <c r="AJ567" s="60"/>
      <c r="AR567" s="60"/>
      <c r="AS567" s="60"/>
      <c r="AT567" s="60"/>
      <c r="AU567" s="60"/>
      <c r="AV567" s="60"/>
      <c r="AW567" s="60"/>
      <c r="AX567" s="60"/>
      <c r="AY567" s="60"/>
    </row>
    <row r="568" spans="2:51" s="59" customFormat="1">
      <c r="B568" s="203"/>
      <c r="D568" s="186"/>
      <c r="F568" s="209"/>
      <c r="G568" s="209"/>
      <c r="H568" s="209"/>
      <c r="I568" s="209"/>
      <c r="J568" s="209"/>
      <c r="K568" s="191"/>
      <c r="L568" s="363"/>
      <c r="M568" s="366"/>
      <c r="N568" s="366"/>
      <c r="O568" s="365"/>
      <c r="P568" s="365"/>
      <c r="Q568" s="192"/>
      <c r="S568" s="209"/>
      <c r="T568" s="209"/>
      <c r="U568" s="192"/>
      <c r="Z568" s="60"/>
      <c r="AA568" s="60"/>
      <c r="AB568" s="60"/>
      <c r="AC568" s="60"/>
      <c r="AD568" s="60"/>
      <c r="AE568" s="60"/>
      <c r="AF568" s="60"/>
      <c r="AG568" s="60"/>
      <c r="AH568" s="60"/>
      <c r="AI568" s="60"/>
      <c r="AJ568" s="60"/>
      <c r="AR568" s="60"/>
      <c r="AS568" s="60"/>
      <c r="AT568" s="60"/>
      <c r="AU568" s="60"/>
      <c r="AV568" s="60"/>
      <c r="AW568" s="60"/>
      <c r="AX568" s="60"/>
      <c r="AY568" s="60"/>
    </row>
    <row r="569" spans="2:51" s="59" customFormat="1">
      <c r="B569" s="203"/>
      <c r="D569" s="186"/>
      <c r="F569" s="209"/>
      <c r="G569" s="209"/>
      <c r="H569" s="209"/>
      <c r="I569" s="209"/>
      <c r="J569" s="209"/>
      <c r="K569" s="191"/>
      <c r="L569" s="363"/>
      <c r="M569" s="366"/>
      <c r="N569" s="366"/>
      <c r="O569" s="365"/>
      <c r="P569" s="365"/>
      <c r="Q569" s="192"/>
      <c r="S569" s="209"/>
      <c r="T569" s="209"/>
      <c r="U569" s="192"/>
      <c r="Z569" s="60"/>
      <c r="AA569" s="60"/>
      <c r="AB569" s="60"/>
      <c r="AC569" s="60"/>
      <c r="AD569" s="60"/>
      <c r="AE569" s="60"/>
      <c r="AF569" s="60"/>
      <c r="AG569" s="60"/>
      <c r="AH569" s="60"/>
      <c r="AI569" s="60"/>
      <c r="AJ569" s="60"/>
      <c r="AR569" s="60"/>
      <c r="AS569" s="60"/>
      <c r="AT569" s="60"/>
      <c r="AU569" s="60"/>
      <c r="AV569" s="60"/>
      <c r="AW569" s="60"/>
      <c r="AX569" s="60"/>
      <c r="AY569" s="60"/>
    </row>
    <row r="570" spans="2:51" s="59" customFormat="1">
      <c r="B570" s="203"/>
      <c r="D570" s="186"/>
      <c r="F570" s="209"/>
      <c r="G570" s="209"/>
      <c r="H570" s="209"/>
      <c r="I570" s="209"/>
      <c r="J570" s="209"/>
      <c r="K570" s="191"/>
      <c r="L570" s="363"/>
      <c r="M570" s="366"/>
      <c r="N570" s="366"/>
      <c r="O570" s="365"/>
      <c r="P570" s="365"/>
      <c r="Q570" s="192"/>
      <c r="S570" s="209"/>
      <c r="T570" s="209"/>
      <c r="U570" s="192"/>
      <c r="Z570" s="60"/>
      <c r="AA570" s="60"/>
      <c r="AB570" s="60"/>
      <c r="AC570" s="60"/>
      <c r="AD570" s="60"/>
      <c r="AE570" s="60"/>
      <c r="AF570" s="60"/>
      <c r="AG570" s="60"/>
      <c r="AH570" s="60"/>
      <c r="AI570" s="60"/>
      <c r="AJ570" s="60"/>
      <c r="AR570" s="60"/>
      <c r="AS570" s="60"/>
      <c r="AT570" s="60"/>
      <c r="AU570" s="60"/>
      <c r="AV570" s="60"/>
      <c r="AW570" s="60"/>
      <c r="AX570" s="60"/>
      <c r="AY570" s="60"/>
    </row>
    <row r="571" spans="2:51" s="59" customFormat="1">
      <c r="B571" s="203"/>
      <c r="D571" s="186"/>
      <c r="F571" s="209"/>
      <c r="G571" s="209"/>
      <c r="H571" s="209"/>
      <c r="I571" s="209"/>
      <c r="J571" s="209"/>
      <c r="K571" s="191"/>
      <c r="L571" s="363"/>
      <c r="M571" s="366"/>
      <c r="N571" s="366"/>
      <c r="O571" s="365"/>
      <c r="P571" s="365"/>
      <c r="Q571" s="192"/>
      <c r="S571" s="209"/>
      <c r="T571" s="209"/>
      <c r="U571" s="192"/>
      <c r="Z571" s="60"/>
      <c r="AA571" s="60"/>
      <c r="AB571" s="60"/>
      <c r="AC571" s="60"/>
      <c r="AD571" s="60"/>
      <c r="AE571" s="60"/>
      <c r="AF571" s="60"/>
      <c r="AG571" s="60"/>
      <c r="AH571" s="60"/>
      <c r="AI571" s="60"/>
      <c r="AJ571" s="60"/>
      <c r="AR571" s="60"/>
      <c r="AS571" s="60"/>
      <c r="AT571" s="60"/>
      <c r="AU571" s="60"/>
      <c r="AV571" s="60"/>
      <c r="AW571" s="60"/>
      <c r="AX571" s="60"/>
      <c r="AY571" s="60"/>
    </row>
    <row r="572" spans="2:51" s="59" customFormat="1">
      <c r="B572" s="203"/>
      <c r="D572" s="186"/>
      <c r="F572" s="209"/>
      <c r="G572" s="209"/>
      <c r="H572" s="209"/>
      <c r="I572" s="209"/>
      <c r="J572" s="209"/>
      <c r="K572" s="191"/>
      <c r="L572" s="363"/>
      <c r="M572" s="366"/>
      <c r="N572" s="366"/>
      <c r="O572" s="365"/>
      <c r="P572" s="365"/>
      <c r="Q572" s="192"/>
      <c r="S572" s="209"/>
      <c r="T572" s="209"/>
      <c r="U572" s="192"/>
      <c r="Z572" s="60"/>
      <c r="AA572" s="60"/>
      <c r="AB572" s="60"/>
      <c r="AC572" s="60"/>
      <c r="AD572" s="60"/>
      <c r="AE572" s="60"/>
      <c r="AF572" s="60"/>
      <c r="AG572" s="60"/>
      <c r="AH572" s="60"/>
      <c r="AI572" s="60"/>
      <c r="AJ572" s="60"/>
    </row>
    <row r="573" spans="2:51" s="59" customFormat="1">
      <c r="B573" s="203"/>
      <c r="D573" s="186"/>
      <c r="F573" s="209"/>
      <c r="G573" s="209"/>
      <c r="H573" s="209"/>
      <c r="I573" s="209"/>
      <c r="J573" s="209"/>
      <c r="K573" s="191"/>
      <c r="L573" s="363"/>
      <c r="M573" s="366"/>
      <c r="N573" s="366"/>
      <c r="O573" s="365"/>
      <c r="P573" s="365"/>
      <c r="Q573" s="192"/>
      <c r="S573" s="209"/>
      <c r="T573" s="209"/>
      <c r="U573" s="192"/>
      <c r="Z573" s="60"/>
      <c r="AA573" s="60"/>
      <c r="AB573" s="60"/>
      <c r="AC573" s="60"/>
      <c r="AD573" s="60"/>
      <c r="AE573" s="60"/>
      <c r="AF573" s="60"/>
      <c r="AG573" s="60"/>
      <c r="AH573" s="60"/>
      <c r="AI573" s="60"/>
      <c r="AJ573" s="60"/>
    </row>
    <row r="574" spans="2:51" s="59" customFormat="1">
      <c r="B574" s="203"/>
      <c r="D574" s="186"/>
      <c r="F574" s="209"/>
      <c r="G574" s="209"/>
      <c r="H574" s="209"/>
      <c r="I574" s="209"/>
      <c r="J574" s="209"/>
      <c r="K574" s="191"/>
      <c r="L574" s="363"/>
      <c r="M574" s="366"/>
      <c r="N574" s="366"/>
      <c r="O574" s="365"/>
      <c r="P574" s="365"/>
      <c r="Q574" s="192"/>
      <c r="S574" s="209"/>
      <c r="T574" s="209"/>
      <c r="U574" s="192"/>
      <c r="Z574" s="60"/>
      <c r="AA574" s="60"/>
      <c r="AB574" s="60"/>
      <c r="AC574" s="60"/>
      <c r="AD574" s="60"/>
      <c r="AE574" s="60"/>
      <c r="AF574" s="60"/>
      <c r="AG574" s="60"/>
      <c r="AH574" s="60"/>
      <c r="AI574" s="60"/>
      <c r="AJ574" s="60"/>
    </row>
    <row r="575" spans="2:51" s="59" customFormat="1">
      <c r="B575" s="203"/>
      <c r="D575" s="186"/>
      <c r="F575" s="209"/>
      <c r="G575" s="209"/>
      <c r="H575" s="209"/>
      <c r="I575" s="209"/>
      <c r="J575" s="209"/>
      <c r="K575" s="191"/>
      <c r="L575" s="363"/>
      <c r="M575" s="366"/>
      <c r="N575" s="366"/>
      <c r="O575" s="365"/>
      <c r="P575" s="365"/>
      <c r="Q575" s="192"/>
      <c r="S575" s="209"/>
      <c r="T575" s="209"/>
      <c r="U575" s="192"/>
      <c r="Z575" s="60"/>
      <c r="AA575" s="60"/>
      <c r="AB575" s="60"/>
      <c r="AC575" s="60"/>
      <c r="AD575" s="60"/>
      <c r="AE575" s="60"/>
      <c r="AF575" s="60"/>
      <c r="AG575" s="60"/>
      <c r="AH575" s="60"/>
      <c r="AI575" s="60"/>
      <c r="AJ575" s="60"/>
    </row>
    <row r="576" spans="2:51" s="59" customFormat="1">
      <c r="B576" s="203"/>
      <c r="D576" s="186"/>
      <c r="F576" s="209"/>
      <c r="G576" s="209"/>
      <c r="H576" s="209"/>
      <c r="I576" s="209"/>
      <c r="J576" s="209"/>
      <c r="K576" s="191"/>
      <c r="L576" s="363"/>
      <c r="M576" s="366"/>
      <c r="N576" s="366"/>
      <c r="O576" s="365"/>
      <c r="P576" s="365"/>
      <c r="Q576" s="192"/>
      <c r="S576" s="209"/>
      <c r="T576" s="209"/>
      <c r="U576" s="192"/>
      <c r="Z576" s="60"/>
      <c r="AA576" s="60"/>
      <c r="AB576" s="60"/>
      <c r="AC576" s="60"/>
      <c r="AD576" s="60"/>
      <c r="AE576" s="60"/>
      <c r="AF576" s="60"/>
      <c r="AG576" s="60"/>
      <c r="AH576" s="60"/>
      <c r="AI576" s="60"/>
      <c r="AJ576" s="60"/>
    </row>
    <row r="577" spans="1:36" s="59" customFormat="1">
      <c r="B577" s="203"/>
      <c r="D577" s="186"/>
      <c r="F577" s="209"/>
      <c r="G577" s="209"/>
      <c r="H577" s="209"/>
      <c r="I577" s="209"/>
      <c r="J577" s="209"/>
      <c r="K577" s="191"/>
      <c r="L577" s="363"/>
      <c r="M577" s="366"/>
      <c r="N577" s="366"/>
      <c r="O577" s="365"/>
      <c r="P577" s="365"/>
      <c r="Q577" s="192"/>
      <c r="S577" s="209"/>
      <c r="T577" s="209"/>
      <c r="U577" s="192"/>
      <c r="Z577" s="60"/>
      <c r="AA577" s="60"/>
      <c r="AB577" s="60"/>
      <c r="AC577" s="60"/>
      <c r="AD577" s="60"/>
      <c r="AE577" s="60"/>
      <c r="AF577" s="60"/>
      <c r="AG577" s="60"/>
      <c r="AH577" s="60"/>
      <c r="AI577" s="60"/>
      <c r="AJ577" s="60"/>
    </row>
    <row r="578" spans="1:36" s="59" customFormat="1">
      <c r="B578" s="203"/>
      <c r="D578" s="186"/>
      <c r="F578" s="209"/>
      <c r="G578" s="209"/>
      <c r="H578" s="209"/>
      <c r="I578" s="209"/>
      <c r="J578" s="209"/>
      <c r="K578" s="191"/>
      <c r="L578" s="363"/>
      <c r="M578" s="366"/>
      <c r="N578" s="366"/>
      <c r="O578" s="365"/>
      <c r="P578" s="365"/>
      <c r="Q578" s="192"/>
      <c r="S578" s="209"/>
      <c r="T578" s="209"/>
      <c r="U578" s="192"/>
      <c r="Z578" s="60"/>
      <c r="AA578" s="60"/>
      <c r="AB578" s="60"/>
      <c r="AC578" s="60"/>
      <c r="AD578" s="60"/>
      <c r="AE578" s="60"/>
      <c r="AF578" s="60"/>
      <c r="AG578" s="60"/>
      <c r="AH578" s="60"/>
      <c r="AI578" s="60"/>
      <c r="AJ578" s="60"/>
    </row>
    <row r="579" spans="1:36" s="59" customFormat="1">
      <c r="B579" s="203"/>
      <c r="D579" s="186"/>
      <c r="F579" s="209"/>
      <c r="G579" s="209"/>
      <c r="H579" s="209"/>
      <c r="I579" s="209"/>
      <c r="J579" s="209"/>
      <c r="K579" s="191"/>
      <c r="L579" s="363"/>
      <c r="M579" s="366"/>
      <c r="N579" s="366"/>
      <c r="O579" s="365"/>
      <c r="P579" s="365"/>
      <c r="Q579" s="192"/>
      <c r="S579" s="209"/>
      <c r="T579" s="209"/>
      <c r="U579" s="192"/>
      <c r="Z579" s="60"/>
      <c r="AA579" s="60"/>
      <c r="AB579" s="60"/>
      <c r="AC579" s="60"/>
      <c r="AD579" s="60"/>
      <c r="AE579" s="60"/>
      <c r="AF579" s="60"/>
      <c r="AG579" s="60"/>
      <c r="AH579" s="60"/>
      <c r="AI579" s="60"/>
      <c r="AJ579" s="60"/>
    </row>
    <row r="580" spans="1:36" s="59" customFormat="1">
      <c r="B580" s="203"/>
      <c r="D580" s="186"/>
      <c r="F580" s="209"/>
      <c r="G580" s="209"/>
      <c r="H580" s="209"/>
      <c r="I580" s="209"/>
      <c r="J580" s="209"/>
      <c r="K580" s="191"/>
      <c r="L580" s="363"/>
      <c r="M580" s="366"/>
      <c r="N580" s="366"/>
      <c r="O580" s="365"/>
      <c r="P580" s="365"/>
      <c r="Q580" s="192"/>
      <c r="S580" s="209"/>
      <c r="T580" s="209"/>
      <c r="U580" s="192"/>
      <c r="Z580" s="60"/>
      <c r="AA580" s="60"/>
      <c r="AB580" s="60"/>
      <c r="AC580" s="60"/>
      <c r="AD580" s="60"/>
      <c r="AE580" s="60"/>
      <c r="AF580" s="60"/>
      <c r="AG580" s="60"/>
      <c r="AH580" s="60"/>
      <c r="AI580" s="60"/>
      <c r="AJ580" s="60"/>
    </row>
    <row r="581" spans="1:36" s="59" customFormat="1">
      <c r="B581" s="203"/>
      <c r="D581" s="186"/>
      <c r="F581" s="209"/>
      <c r="G581" s="209"/>
      <c r="H581" s="209"/>
      <c r="I581" s="209"/>
      <c r="J581" s="209"/>
      <c r="K581" s="191"/>
      <c r="L581" s="363"/>
      <c r="M581" s="366"/>
      <c r="N581" s="366"/>
      <c r="O581" s="365"/>
      <c r="P581" s="365"/>
      <c r="Q581" s="192"/>
      <c r="S581" s="209"/>
      <c r="T581" s="209"/>
      <c r="U581" s="192"/>
      <c r="Z581" s="60"/>
      <c r="AA581" s="60"/>
      <c r="AB581" s="60"/>
      <c r="AC581" s="60"/>
      <c r="AD581" s="60"/>
      <c r="AE581" s="60"/>
      <c r="AF581" s="60"/>
      <c r="AG581" s="60"/>
      <c r="AH581" s="60"/>
      <c r="AI581" s="60"/>
      <c r="AJ581" s="60"/>
    </row>
    <row r="582" spans="1:36" s="59" customFormat="1">
      <c r="B582" s="203"/>
      <c r="D582" s="186"/>
      <c r="F582" s="209"/>
      <c r="G582" s="209"/>
      <c r="H582" s="209"/>
      <c r="I582" s="209"/>
      <c r="J582" s="209"/>
      <c r="K582" s="191"/>
      <c r="L582" s="363"/>
      <c r="M582" s="366"/>
      <c r="N582" s="366"/>
      <c r="O582" s="365"/>
      <c r="P582" s="365"/>
      <c r="Q582" s="192"/>
      <c r="S582" s="209"/>
      <c r="T582" s="209"/>
      <c r="U582" s="192"/>
      <c r="Z582" s="60"/>
      <c r="AA582" s="60"/>
      <c r="AB582" s="60"/>
      <c r="AC582" s="60"/>
      <c r="AD582" s="60"/>
      <c r="AE582" s="60"/>
      <c r="AF582" s="60"/>
      <c r="AG582" s="60"/>
      <c r="AH582" s="60"/>
      <c r="AI582" s="60"/>
      <c r="AJ582" s="60"/>
    </row>
    <row r="583" spans="1:36" s="59" customFormat="1">
      <c r="B583" s="203"/>
      <c r="D583" s="186"/>
      <c r="F583" s="209"/>
      <c r="G583" s="209"/>
      <c r="H583" s="209"/>
      <c r="I583" s="209"/>
      <c r="J583" s="209"/>
      <c r="K583" s="191"/>
      <c r="L583" s="363"/>
      <c r="M583" s="366"/>
      <c r="N583" s="366"/>
      <c r="O583" s="365"/>
      <c r="P583" s="365"/>
      <c r="Q583" s="192"/>
      <c r="S583" s="209"/>
      <c r="T583" s="209"/>
      <c r="U583" s="192"/>
      <c r="Z583" s="60"/>
      <c r="AA583" s="60"/>
      <c r="AB583" s="60"/>
      <c r="AC583" s="60"/>
      <c r="AD583" s="60"/>
      <c r="AE583" s="60"/>
      <c r="AF583" s="60"/>
      <c r="AG583" s="60"/>
      <c r="AH583" s="60"/>
      <c r="AI583" s="60"/>
      <c r="AJ583" s="60"/>
    </row>
    <row r="584" spans="1:36" s="59" customFormat="1">
      <c r="B584" s="203"/>
      <c r="D584" s="186"/>
      <c r="F584" s="209"/>
      <c r="G584" s="209"/>
      <c r="H584" s="209"/>
      <c r="I584" s="209"/>
      <c r="J584" s="209"/>
      <c r="K584" s="191"/>
      <c r="L584" s="363"/>
      <c r="M584" s="366"/>
      <c r="N584" s="366"/>
      <c r="O584" s="365"/>
      <c r="P584" s="365"/>
      <c r="Q584" s="192"/>
      <c r="S584" s="209"/>
      <c r="T584" s="209"/>
      <c r="U584" s="192"/>
      <c r="Z584" s="60"/>
      <c r="AA584" s="60"/>
      <c r="AB584" s="60"/>
      <c r="AC584" s="60"/>
      <c r="AD584" s="60"/>
      <c r="AE584" s="60"/>
      <c r="AF584" s="60"/>
      <c r="AG584" s="60"/>
      <c r="AH584" s="60"/>
      <c r="AI584" s="60"/>
      <c r="AJ584" s="60"/>
    </row>
    <row r="585" spans="1:36" s="59" customFormat="1" ht="35.25">
      <c r="A585" s="193"/>
      <c r="B585" s="203"/>
      <c r="C585" s="186"/>
      <c r="D585" s="186"/>
      <c r="E585" s="186"/>
      <c r="F585" s="186"/>
      <c r="G585" s="186"/>
      <c r="H585" s="186"/>
      <c r="I585" s="186"/>
      <c r="J585" s="186"/>
      <c r="K585" s="186"/>
      <c r="L585" s="370"/>
      <c r="M585" s="370"/>
      <c r="N585" s="370"/>
      <c r="O585" s="370"/>
      <c r="P585" s="370"/>
      <c r="Q585" s="186"/>
      <c r="R585" s="186"/>
      <c r="S585" s="186"/>
      <c r="T585" s="186"/>
      <c r="U585" s="186"/>
      <c r="V585" s="186"/>
      <c r="W585" s="186"/>
      <c r="X585" s="186"/>
      <c r="Y585" s="186"/>
      <c r="Z585" s="305"/>
      <c r="AA585" s="60"/>
      <c r="AB585" s="60"/>
      <c r="AC585" s="60"/>
      <c r="AD585" s="60"/>
      <c r="AE585" s="60"/>
      <c r="AF585" s="60"/>
      <c r="AG585" s="60"/>
      <c r="AH585" s="60"/>
      <c r="AI585" s="60"/>
      <c r="AJ585" s="60"/>
    </row>
    <row r="586" spans="1:36" s="59" customFormat="1" ht="35.25">
      <c r="A586" s="193"/>
      <c r="B586" s="203"/>
      <c r="C586" s="186"/>
      <c r="D586" s="186"/>
      <c r="E586" s="186"/>
      <c r="F586" s="186"/>
      <c r="G586" s="186"/>
      <c r="H586" s="186"/>
      <c r="I586" s="186"/>
      <c r="J586" s="186"/>
      <c r="K586" s="186"/>
      <c r="L586" s="370"/>
      <c r="M586" s="370"/>
      <c r="N586" s="370"/>
      <c r="O586" s="370"/>
      <c r="P586" s="370"/>
      <c r="Q586" s="186"/>
      <c r="R586" s="186"/>
      <c r="S586" s="186"/>
      <c r="T586" s="186"/>
      <c r="U586" s="186"/>
      <c r="V586" s="186"/>
      <c r="W586" s="186"/>
      <c r="X586" s="186"/>
      <c r="Y586" s="186"/>
      <c r="Z586" s="305"/>
      <c r="AA586" s="60"/>
      <c r="AB586" s="60"/>
      <c r="AC586" s="60"/>
      <c r="AD586" s="60"/>
      <c r="AE586" s="60"/>
      <c r="AF586" s="60"/>
      <c r="AG586" s="60"/>
      <c r="AH586" s="60"/>
      <c r="AI586" s="60"/>
      <c r="AJ586" s="60"/>
    </row>
    <row r="587" spans="1:36" s="59" customFormat="1" ht="35.25">
      <c r="A587" s="193"/>
      <c r="B587" s="203"/>
      <c r="C587" s="186"/>
      <c r="D587" s="186"/>
      <c r="E587" s="186"/>
      <c r="F587" s="186"/>
      <c r="G587" s="186"/>
      <c r="H587" s="186"/>
      <c r="I587" s="186"/>
      <c r="J587" s="186"/>
      <c r="K587" s="186"/>
      <c r="L587" s="370"/>
      <c r="M587" s="370"/>
      <c r="N587" s="370"/>
      <c r="O587" s="370"/>
      <c r="P587" s="370"/>
      <c r="Q587" s="186"/>
      <c r="R587" s="186"/>
      <c r="S587" s="186"/>
      <c r="T587" s="186"/>
      <c r="U587" s="186"/>
      <c r="V587" s="186"/>
      <c r="W587" s="186"/>
      <c r="X587" s="186"/>
      <c r="Y587" s="186"/>
      <c r="Z587" s="305"/>
      <c r="AA587" s="60"/>
      <c r="AB587" s="60"/>
      <c r="AC587" s="60"/>
      <c r="AD587" s="60"/>
      <c r="AE587" s="60"/>
      <c r="AF587" s="60"/>
      <c r="AG587" s="60"/>
      <c r="AH587" s="60"/>
      <c r="AI587" s="60"/>
      <c r="AJ587" s="60"/>
    </row>
    <row r="588" spans="1:36" s="59" customFormat="1" ht="35.25">
      <c r="A588" s="193"/>
      <c r="B588" s="203"/>
      <c r="C588" s="186"/>
      <c r="D588" s="186"/>
      <c r="E588" s="186"/>
      <c r="F588" s="186"/>
      <c r="G588" s="186"/>
      <c r="H588" s="186"/>
      <c r="I588" s="186"/>
      <c r="J588" s="186"/>
      <c r="K588" s="186"/>
      <c r="L588" s="370"/>
      <c r="M588" s="370"/>
      <c r="N588" s="370"/>
      <c r="O588" s="370"/>
      <c r="P588" s="370"/>
      <c r="Q588" s="186"/>
      <c r="R588" s="186"/>
      <c r="S588" s="186"/>
      <c r="T588" s="186"/>
      <c r="U588" s="186"/>
      <c r="V588" s="186"/>
      <c r="W588" s="186"/>
      <c r="X588" s="186"/>
      <c r="Y588" s="186"/>
      <c r="Z588" s="305"/>
      <c r="AA588" s="60"/>
      <c r="AB588" s="60"/>
      <c r="AC588" s="60"/>
      <c r="AD588" s="60"/>
      <c r="AE588" s="60"/>
      <c r="AF588" s="60"/>
      <c r="AG588" s="60"/>
      <c r="AH588" s="60"/>
      <c r="AI588" s="60"/>
      <c r="AJ588" s="60"/>
    </row>
    <row r="589" spans="1:36" s="59" customFormat="1" ht="35.25">
      <c r="A589" s="193"/>
      <c r="B589" s="203"/>
      <c r="C589" s="186"/>
      <c r="D589" s="186"/>
      <c r="E589" s="186"/>
      <c r="F589" s="186"/>
      <c r="G589" s="186"/>
      <c r="H589" s="186"/>
      <c r="I589" s="186"/>
      <c r="J589" s="186"/>
      <c r="K589" s="186"/>
      <c r="L589" s="370"/>
      <c r="M589" s="370"/>
      <c r="N589" s="370"/>
      <c r="O589" s="370"/>
      <c r="P589" s="370"/>
      <c r="Q589" s="186"/>
      <c r="R589" s="186"/>
      <c r="S589" s="186"/>
      <c r="T589" s="186"/>
      <c r="U589" s="186"/>
      <c r="V589" s="186"/>
      <c r="W589" s="186"/>
      <c r="X589" s="186"/>
      <c r="Y589" s="186"/>
      <c r="Z589" s="305"/>
      <c r="AA589" s="60"/>
      <c r="AB589" s="60"/>
      <c r="AC589" s="60"/>
      <c r="AD589" s="60"/>
      <c r="AE589" s="60"/>
      <c r="AF589" s="60"/>
      <c r="AG589" s="60"/>
      <c r="AH589" s="60"/>
      <c r="AI589" s="60"/>
      <c r="AJ589" s="60"/>
    </row>
    <row r="590" spans="1:36" s="59" customFormat="1" ht="35.25">
      <c r="A590" s="193"/>
      <c r="B590" s="203"/>
      <c r="C590" s="186"/>
      <c r="D590" s="186"/>
      <c r="E590" s="186"/>
      <c r="F590" s="186"/>
      <c r="G590" s="186"/>
      <c r="H590" s="186"/>
      <c r="I590" s="186"/>
      <c r="J590" s="186"/>
      <c r="K590" s="186"/>
      <c r="L590" s="370"/>
      <c r="M590" s="370"/>
      <c r="N590" s="370"/>
      <c r="O590" s="370"/>
      <c r="P590" s="370"/>
      <c r="Q590" s="186"/>
      <c r="R590" s="186"/>
      <c r="S590" s="186"/>
      <c r="T590" s="186"/>
      <c r="U590" s="186"/>
      <c r="V590" s="186"/>
      <c r="W590" s="186"/>
      <c r="X590" s="186"/>
      <c r="Y590" s="186"/>
      <c r="Z590" s="305"/>
      <c r="AA590" s="60"/>
      <c r="AB590" s="60"/>
      <c r="AC590" s="60"/>
      <c r="AD590" s="60"/>
      <c r="AE590" s="60"/>
      <c r="AF590" s="60"/>
      <c r="AG590" s="60"/>
      <c r="AH590" s="60"/>
      <c r="AI590" s="60"/>
      <c r="AJ590" s="60"/>
    </row>
    <row r="591" spans="1:36" s="59" customFormat="1" ht="35.25">
      <c r="A591" s="193"/>
      <c r="B591" s="203"/>
      <c r="C591" s="186"/>
      <c r="D591" s="186"/>
      <c r="E591" s="186"/>
      <c r="F591" s="186"/>
      <c r="G591" s="186"/>
      <c r="H591" s="186"/>
      <c r="I591" s="186"/>
      <c r="J591" s="186"/>
      <c r="K591" s="186"/>
      <c r="L591" s="370"/>
      <c r="M591" s="370"/>
      <c r="N591" s="370"/>
      <c r="O591" s="370"/>
      <c r="P591" s="370"/>
      <c r="Q591" s="186"/>
      <c r="R591" s="186"/>
      <c r="S591" s="186"/>
      <c r="T591" s="186"/>
      <c r="U591" s="186"/>
      <c r="V591" s="186"/>
      <c r="W591" s="186"/>
      <c r="X591" s="186"/>
      <c r="Y591" s="186"/>
      <c r="Z591" s="305"/>
      <c r="AA591" s="60"/>
      <c r="AB591" s="60"/>
      <c r="AC591" s="60"/>
      <c r="AD591" s="60"/>
      <c r="AE591" s="60"/>
      <c r="AF591" s="60"/>
      <c r="AG591" s="60"/>
      <c r="AH591" s="60"/>
      <c r="AI591" s="60"/>
      <c r="AJ591" s="60"/>
    </row>
    <row r="592" spans="1:36" s="59" customFormat="1" ht="35.25">
      <c r="A592" s="193"/>
      <c r="B592" s="203"/>
      <c r="C592" s="186"/>
      <c r="D592" s="186"/>
      <c r="E592" s="186"/>
      <c r="F592" s="186"/>
      <c r="G592" s="186"/>
      <c r="H592" s="186"/>
      <c r="I592" s="186"/>
      <c r="J592" s="186"/>
      <c r="K592" s="186"/>
      <c r="L592" s="370"/>
      <c r="M592" s="370"/>
      <c r="N592" s="370"/>
      <c r="O592" s="370"/>
      <c r="P592" s="370"/>
      <c r="Q592" s="186"/>
      <c r="R592" s="186"/>
      <c r="S592" s="186"/>
      <c r="T592" s="186"/>
      <c r="U592" s="186"/>
      <c r="V592" s="186"/>
      <c r="W592" s="186"/>
      <c r="X592" s="186"/>
      <c r="Y592" s="186"/>
      <c r="Z592" s="305"/>
      <c r="AA592" s="60"/>
      <c r="AB592" s="60"/>
      <c r="AC592" s="60"/>
      <c r="AD592" s="60"/>
      <c r="AE592" s="60"/>
      <c r="AF592" s="60"/>
      <c r="AG592" s="60"/>
      <c r="AH592" s="60"/>
      <c r="AI592" s="60"/>
      <c r="AJ592" s="60"/>
    </row>
    <row r="593" spans="1:36" s="59" customFormat="1" ht="35.25">
      <c r="A593" s="193"/>
      <c r="B593" s="203"/>
      <c r="C593" s="186"/>
      <c r="D593" s="186"/>
      <c r="E593" s="186"/>
      <c r="F593" s="186"/>
      <c r="G593" s="186"/>
      <c r="H593" s="186"/>
      <c r="I593" s="186"/>
      <c r="J593" s="186"/>
      <c r="K593" s="186"/>
      <c r="L593" s="370"/>
      <c r="M593" s="370"/>
      <c r="N593" s="370"/>
      <c r="O593" s="370"/>
      <c r="P593" s="370"/>
      <c r="Q593" s="186"/>
      <c r="R593" s="186"/>
      <c r="S593" s="186"/>
      <c r="T593" s="186"/>
      <c r="U593" s="186"/>
      <c r="V593" s="186"/>
      <c r="W593" s="186"/>
      <c r="X593" s="186"/>
      <c r="Y593" s="186"/>
      <c r="Z593" s="305"/>
      <c r="AA593" s="60"/>
      <c r="AB593" s="60"/>
      <c r="AC593" s="60"/>
      <c r="AD593" s="60"/>
      <c r="AE593" s="60"/>
      <c r="AF593" s="60"/>
      <c r="AG593" s="60"/>
      <c r="AH593" s="60"/>
      <c r="AI593" s="60"/>
      <c r="AJ593" s="60"/>
    </row>
    <row r="594" spans="1:36" s="59" customFormat="1" ht="35.25">
      <c r="A594" s="193"/>
      <c r="B594" s="203"/>
      <c r="C594" s="186"/>
      <c r="D594" s="186"/>
      <c r="E594" s="186"/>
      <c r="F594" s="186"/>
      <c r="G594" s="186"/>
      <c r="H594" s="186"/>
      <c r="I594" s="186"/>
      <c r="J594" s="186"/>
      <c r="K594" s="186"/>
      <c r="L594" s="370"/>
      <c r="M594" s="370"/>
      <c r="N594" s="370"/>
      <c r="O594" s="370"/>
      <c r="P594" s="370"/>
      <c r="Q594" s="186"/>
      <c r="R594" s="186"/>
      <c r="S594" s="186"/>
      <c r="T594" s="186"/>
      <c r="U594" s="186"/>
      <c r="V594" s="186"/>
      <c r="W594" s="186"/>
      <c r="X594" s="186"/>
      <c r="Y594" s="186"/>
      <c r="Z594" s="305"/>
      <c r="AA594" s="60"/>
      <c r="AB594" s="60"/>
      <c r="AC594" s="60"/>
      <c r="AD594" s="60"/>
      <c r="AE594" s="60"/>
      <c r="AF594" s="60"/>
      <c r="AG594" s="60"/>
      <c r="AH594" s="60"/>
      <c r="AI594" s="60"/>
      <c r="AJ594" s="60"/>
    </row>
    <row r="595" spans="1:36" s="59" customFormat="1" ht="35.25">
      <c r="A595" s="193"/>
      <c r="B595" s="203"/>
      <c r="C595" s="186"/>
      <c r="D595" s="186"/>
      <c r="E595" s="186"/>
      <c r="F595" s="186"/>
      <c r="G595" s="186"/>
      <c r="H595" s="186"/>
      <c r="I595" s="186"/>
      <c r="J595" s="186"/>
      <c r="K595" s="186"/>
      <c r="L595" s="370"/>
      <c r="M595" s="370"/>
      <c r="N595" s="370"/>
      <c r="O595" s="370"/>
      <c r="P595" s="370"/>
      <c r="Q595" s="186"/>
      <c r="R595" s="186"/>
      <c r="S595" s="186"/>
      <c r="T595" s="186"/>
      <c r="U595" s="186"/>
      <c r="V595" s="186"/>
      <c r="W595" s="186"/>
      <c r="X595" s="186"/>
      <c r="Y595" s="186"/>
      <c r="Z595" s="305"/>
      <c r="AA595" s="60"/>
      <c r="AB595" s="60"/>
      <c r="AC595" s="60"/>
      <c r="AD595" s="60"/>
      <c r="AE595" s="60"/>
      <c r="AF595" s="60"/>
      <c r="AG595" s="60"/>
      <c r="AH595" s="60"/>
      <c r="AI595" s="60"/>
      <c r="AJ595" s="60"/>
    </row>
    <row r="596" spans="1:36" s="59" customFormat="1" ht="35.25">
      <c r="A596" s="193"/>
      <c r="B596" s="203"/>
      <c r="C596" s="186"/>
      <c r="D596" s="186"/>
      <c r="E596" s="186"/>
      <c r="F596" s="186"/>
      <c r="G596" s="186"/>
      <c r="H596" s="186"/>
      <c r="I596" s="186"/>
      <c r="J596" s="186"/>
      <c r="K596" s="186"/>
      <c r="L596" s="370"/>
      <c r="M596" s="370"/>
      <c r="N596" s="370"/>
      <c r="O596" s="370"/>
      <c r="P596" s="370"/>
      <c r="Q596" s="186"/>
      <c r="R596" s="186"/>
      <c r="S596" s="186"/>
      <c r="T596" s="186"/>
      <c r="U596" s="186"/>
      <c r="V596" s="186"/>
      <c r="W596" s="186"/>
      <c r="X596" s="186"/>
      <c r="Y596" s="186"/>
      <c r="Z596" s="305"/>
      <c r="AA596" s="60"/>
      <c r="AB596" s="60"/>
      <c r="AC596" s="60"/>
      <c r="AD596" s="60"/>
      <c r="AE596" s="60"/>
      <c r="AF596" s="60"/>
      <c r="AG596" s="60"/>
      <c r="AH596" s="60"/>
      <c r="AI596" s="60"/>
      <c r="AJ596" s="60"/>
    </row>
    <row r="597" spans="1:36" s="59" customFormat="1" ht="35.25">
      <c r="A597" s="193"/>
      <c r="B597" s="203"/>
      <c r="C597" s="186"/>
      <c r="D597" s="186"/>
      <c r="E597" s="186"/>
      <c r="F597" s="186"/>
      <c r="G597" s="186"/>
      <c r="H597" s="186"/>
      <c r="I597" s="186"/>
      <c r="J597" s="186"/>
      <c r="K597" s="186"/>
      <c r="L597" s="370"/>
      <c r="M597" s="370"/>
      <c r="N597" s="370"/>
      <c r="O597" s="370"/>
      <c r="P597" s="370"/>
      <c r="Q597" s="186"/>
      <c r="R597" s="186"/>
      <c r="S597" s="186"/>
      <c r="T597" s="186"/>
      <c r="U597" s="186"/>
      <c r="V597" s="186"/>
      <c r="W597" s="186"/>
      <c r="X597" s="186"/>
      <c r="Y597" s="186"/>
      <c r="Z597" s="305"/>
      <c r="AA597" s="60"/>
      <c r="AB597" s="60"/>
      <c r="AC597" s="60"/>
      <c r="AD597" s="60"/>
      <c r="AE597" s="60"/>
      <c r="AF597" s="60"/>
      <c r="AG597" s="60"/>
      <c r="AH597" s="60"/>
      <c r="AI597" s="60"/>
      <c r="AJ597" s="60"/>
    </row>
    <row r="598" spans="1:36" s="59" customFormat="1" ht="35.25">
      <c r="A598" s="193"/>
      <c r="B598" s="203"/>
      <c r="C598" s="186"/>
      <c r="D598" s="186"/>
      <c r="E598" s="186"/>
      <c r="F598" s="186"/>
      <c r="G598" s="186"/>
      <c r="H598" s="186"/>
      <c r="I598" s="186"/>
      <c r="J598" s="186"/>
      <c r="K598" s="186"/>
      <c r="L598" s="370"/>
      <c r="M598" s="370"/>
      <c r="N598" s="370"/>
      <c r="O598" s="370"/>
      <c r="P598" s="370"/>
      <c r="Q598" s="186"/>
      <c r="R598" s="186"/>
      <c r="S598" s="186"/>
      <c r="T598" s="186"/>
      <c r="U598" s="186"/>
      <c r="V598" s="186"/>
      <c r="W598" s="186"/>
      <c r="X598" s="186"/>
      <c r="Y598" s="186"/>
      <c r="Z598" s="305"/>
      <c r="AA598" s="60"/>
      <c r="AB598" s="60"/>
      <c r="AC598" s="60"/>
      <c r="AD598" s="60"/>
      <c r="AE598" s="60"/>
      <c r="AF598" s="60"/>
      <c r="AG598" s="60"/>
      <c r="AH598" s="60"/>
      <c r="AI598" s="60"/>
      <c r="AJ598" s="60"/>
    </row>
    <row r="599" spans="1:36" s="59" customFormat="1" ht="35.25">
      <c r="A599" s="193"/>
      <c r="B599" s="203"/>
      <c r="C599" s="186"/>
      <c r="D599" s="186"/>
      <c r="E599" s="186"/>
      <c r="F599" s="186"/>
      <c r="G599" s="186"/>
      <c r="H599" s="186"/>
      <c r="I599" s="186"/>
      <c r="J599" s="186"/>
      <c r="K599" s="186"/>
      <c r="L599" s="370"/>
      <c r="M599" s="370"/>
      <c r="N599" s="370"/>
      <c r="O599" s="370"/>
      <c r="P599" s="370"/>
      <c r="Q599" s="186"/>
      <c r="R599" s="186"/>
      <c r="S599" s="186"/>
      <c r="T599" s="186"/>
      <c r="U599" s="186"/>
      <c r="V599" s="186"/>
      <c r="W599" s="186"/>
      <c r="X599" s="186"/>
      <c r="Y599" s="186"/>
      <c r="Z599" s="305"/>
      <c r="AA599" s="60"/>
      <c r="AB599" s="60"/>
      <c r="AC599" s="60"/>
      <c r="AD599" s="60"/>
      <c r="AE599" s="60"/>
      <c r="AF599" s="60"/>
      <c r="AG599" s="60"/>
      <c r="AH599" s="60"/>
      <c r="AI599" s="60"/>
      <c r="AJ599" s="60"/>
    </row>
    <row r="600" spans="1:36" s="59" customFormat="1" ht="35.25">
      <c r="A600" s="193"/>
      <c r="B600" s="203"/>
      <c r="C600" s="186"/>
      <c r="D600" s="186"/>
      <c r="E600" s="186"/>
      <c r="F600" s="186"/>
      <c r="G600" s="186"/>
      <c r="H600" s="186"/>
      <c r="I600" s="186"/>
      <c r="J600" s="186"/>
      <c r="K600" s="186"/>
      <c r="L600" s="370"/>
      <c r="M600" s="370"/>
      <c r="N600" s="370"/>
      <c r="O600" s="370"/>
      <c r="P600" s="370"/>
      <c r="Q600" s="186"/>
      <c r="R600" s="186"/>
      <c r="S600" s="186"/>
      <c r="T600" s="186"/>
      <c r="U600" s="186"/>
      <c r="V600" s="186"/>
      <c r="W600" s="186"/>
      <c r="X600" s="186"/>
      <c r="Y600" s="186"/>
      <c r="Z600" s="305"/>
      <c r="AA600" s="60"/>
      <c r="AB600" s="60"/>
      <c r="AC600" s="60"/>
      <c r="AD600" s="60"/>
      <c r="AE600" s="60"/>
      <c r="AF600" s="60"/>
      <c r="AG600" s="60"/>
      <c r="AH600" s="60"/>
      <c r="AI600" s="60"/>
      <c r="AJ600" s="60"/>
    </row>
    <row r="601" spans="1:36" s="59" customFormat="1" ht="35.25">
      <c r="A601" s="193"/>
      <c r="B601" s="203"/>
      <c r="C601" s="186"/>
      <c r="D601" s="186"/>
      <c r="E601" s="186"/>
      <c r="F601" s="186"/>
      <c r="G601" s="186"/>
      <c r="H601" s="186"/>
      <c r="I601" s="186"/>
      <c r="J601" s="186"/>
      <c r="K601" s="186"/>
      <c r="L601" s="370"/>
      <c r="M601" s="370"/>
      <c r="N601" s="370"/>
      <c r="O601" s="370"/>
      <c r="P601" s="370"/>
      <c r="Q601" s="186"/>
      <c r="R601" s="186"/>
      <c r="S601" s="186"/>
      <c r="T601" s="186"/>
      <c r="U601" s="186"/>
      <c r="V601" s="186"/>
      <c r="W601" s="186"/>
      <c r="X601" s="186"/>
      <c r="Y601" s="186"/>
      <c r="Z601" s="305"/>
      <c r="AA601" s="60"/>
      <c r="AB601" s="60"/>
      <c r="AC601" s="60"/>
      <c r="AD601" s="60"/>
      <c r="AE601" s="60"/>
      <c r="AF601" s="60"/>
      <c r="AG601" s="60"/>
      <c r="AH601" s="60"/>
      <c r="AI601" s="60"/>
      <c r="AJ601" s="60"/>
    </row>
    <row r="602" spans="1:36" s="59" customFormat="1" ht="35.25">
      <c r="A602" s="193"/>
      <c r="B602" s="203"/>
      <c r="C602" s="186"/>
      <c r="D602" s="186"/>
      <c r="E602" s="186"/>
      <c r="F602" s="186"/>
      <c r="G602" s="186"/>
      <c r="H602" s="186"/>
      <c r="I602" s="186"/>
      <c r="J602" s="186"/>
      <c r="K602" s="186"/>
      <c r="L602" s="370"/>
      <c r="M602" s="370"/>
      <c r="N602" s="370"/>
      <c r="O602" s="370"/>
      <c r="P602" s="370"/>
      <c r="Q602" s="186"/>
      <c r="R602" s="186"/>
      <c r="S602" s="186"/>
      <c r="T602" s="186"/>
      <c r="U602" s="186"/>
      <c r="V602" s="186"/>
      <c r="W602" s="186"/>
      <c r="X602" s="186"/>
      <c r="Y602" s="186"/>
      <c r="Z602" s="305"/>
      <c r="AA602" s="60"/>
      <c r="AB602" s="60"/>
      <c r="AC602" s="60"/>
      <c r="AD602" s="60"/>
      <c r="AE602" s="60"/>
      <c r="AF602" s="60"/>
      <c r="AG602" s="60"/>
      <c r="AH602" s="60"/>
      <c r="AI602" s="60"/>
      <c r="AJ602" s="60"/>
    </row>
    <row r="603" spans="1:36" s="59" customFormat="1" ht="35.25">
      <c r="A603" s="193"/>
      <c r="B603" s="203"/>
      <c r="C603" s="186"/>
      <c r="D603" s="186"/>
      <c r="E603" s="186"/>
      <c r="F603" s="186"/>
      <c r="G603" s="186"/>
      <c r="H603" s="186"/>
      <c r="I603" s="186"/>
      <c r="J603" s="186"/>
      <c r="K603" s="186"/>
      <c r="L603" s="370"/>
      <c r="M603" s="370"/>
      <c r="N603" s="370"/>
      <c r="O603" s="370"/>
      <c r="P603" s="370"/>
      <c r="Q603" s="186"/>
      <c r="R603" s="186"/>
      <c r="S603" s="186"/>
      <c r="T603" s="186"/>
      <c r="U603" s="186"/>
      <c r="V603" s="186"/>
      <c r="W603" s="186"/>
      <c r="X603" s="186"/>
      <c r="Y603" s="186"/>
      <c r="Z603" s="305"/>
      <c r="AA603" s="60"/>
      <c r="AB603" s="60"/>
      <c r="AC603" s="60"/>
      <c r="AD603" s="60"/>
      <c r="AE603" s="60"/>
      <c r="AF603" s="60"/>
      <c r="AG603" s="60"/>
      <c r="AH603" s="60"/>
      <c r="AI603" s="60"/>
      <c r="AJ603" s="60"/>
    </row>
    <row r="604" spans="1:36" s="59" customFormat="1" ht="35.25">
      <c r="A604" s="193"/>
      <c r="B604" s="203"/>
      <c r="C604" s="186"/>
      <c r="D604" s="186"/>
      <c r="E604" s="186"/>
      <c r="F604" s="186"/>
      <c r="G604" s="186"/>
      <c r="H604" s="186"/>
      <c r="I604" s="186"/>
      <c r="J604" s="186"/>
      <c r="K604" s="186"/>
      <c r="L604" s="370"/>
      <c r="M604" s="370"/>
      <c r="N604" s="370"/>
      <c r="O604" s="370"/>
      <c r="P604" s="370"/>
      <c r="Q604" s="186"/>
      <c r="R604" s="186"/>
      <c r="S604" s="186"/>
      <c r="T604" s="186"/>
      <c r="U604" s="186"/>
      <c r="V604" s="186"/>
      <c r="W604" s="186"/>
      <c r="X604" s="186"/>
      <c r="Y604" s="186"/>
      <c r="Z604" s="305"/>
      <c r="AA604" s="60"/>
      <c r="AB604" s="60"/>
      <c r="AC604" s="60"/>
      <c r="AD604" s="60"/>
      <c r="AE604" s="60"/>
      <c r="AF604" s="60"/>
      <c r="AG604" s="60"/>
      <c r="AH604" s="60"/>
      <c r="AI604" s="60"/>
      <c r="AJ604" s="60"/>
    </row>
    <row r="605" spans="1:36" s="59" customFormat="1" ht="35.25">
      <c r="A605" s="193"/>
      <c r="B605" s="203"/>
      <c r="C605" s="186"/>
      <c r="D605" s="186"/>
      <c r="E605" s="186"/>
      <c r="F605" s="186"/>
      <c r="G605" s="186"/>
      <c r="H605" s="186"/>
      <c r="I605" s="186"/>
      <c r="J605" s="186"/>
      <c r="K605" s="186"/>
      <c r="L605" s="370"/>
      <c r="M605" s="370"/>
      <c r="N605" s="370"/>
      <c r="O605" s="370"/>
      <c r="P605" s="370"/>
      <c r="Q605" s="186"/>
      <c r="R605" s="186"/>
      <c r="S605" s="186"/>
      <c r="T605" s="186"/>
      <c r="U605" s="186"/>
      <c r="V605" s="186"/>
      <c r="W605" s="186"/>
      <c r="X605" s="186"/>
      <c r="Y605" s="186"/>
      <c r="Z605" s="305"/>
      <c r="AA605" s="60"/>
      <c r="AB605" s="60"/>
      <c r="AC605" s="60"/>
      <c r="AD605" s="60"/>
      <c r="AE605" s="60"/>
      <c r="AF605" s="60"/>
      <c r="AG605" s="60"/>
      <c r="AH605" s="60"/>
      <c r="AI605" s="60"/>
      <c r="AJ605" s="60"/>
    </row>
    <row r="606" spans="1:36" s="59" customFormat="1" ht="35.25">
      <c r="A606" s="193"/>
      <c r="B606" s="203"/>
      <c r="C606" s="186"/>
      <c r="D606" s="186"/>
      <c r="E606" s="186"/>
      <c r="F606" s="186"/>
      <c r="G606" s="186"/>
      <c r="H606" s="186"/>
      <c r="I606" s="186"/>
      <c r="J606" s="186"/>
      <c r="K606" s="186"/>
      <c r="L606" s="370"/>
      <c r="M606" s="370"/>
      <c r="N606" s="370"/>
      <c r="O606" s="370"/>
      <c r="P606" s="370"/>
      <c r="Q606" s="186"/>
      <c r="R606" s="186"/>
      <c r="S606" s="186"/>
      <c r="T606" s="186"/>
      <c r="U606" s="186"/>
      <c r="V606" s="186"/>
      <c r="W606" s="186"/>
      <c r="X606" s="186"/>
      <c r="Y606" s="186"/>
      <c r="Z606" s="305"/>
      <c r="AA606" s="60"/>
      <c r="AB606" s="60"/>
      <c r="AC606" s="60"/>
      <c r="AD606" s="60"/>
      <c r="AE606" s="60"/>
      <c r="AF606" s="60"/>
      <c r="AG606" s="60"/>
      <c r="AH606" s="60"/>
      <c r="AI606" s="60"/>
      <c r="AJ606" s="60"/>
    </row>
    <row r="607" spans="1:36" s="59" customFormat="1" ht="35.25">
      <c r="A607" s="193"/>
      <c r="B607" s="203"/>
      <c r="C607" s="186"/>
      <c r="D607" s="186"/>
      <c r="E607" s="186"/>
      <c r="F607" s="186"/>
      <c r="G607" s="186"/>
      <c r="H607" s="186"/>
      <c r="I607" s="186"/>
      <c r="J607" s="186"/>
      <c r="K607" s="186"/>
      <c r="L607" s="370"/>
      <c r="M607" s="370"/>
      <c r="N607" s="370"/>
      <c r="O607" s="370"/>
      <c r="P607" s="370"/>
      <c r="Q607" s="186"/>
      <c r="R607" s="186"/>
      <c r="S607" s="186"/>
      <c r="T607" s="186"/>
      <c r="U607" s="186"/>
      <c r="V607" s="186"/>
      <c r="W607" s="186"/>
      <c r="X607" s="186"/>
      <c r="Y607" s="186"/>
      <c r="Z607" s="305"/>
      <c r="AA607" s="60"/>
      <c r="AB607" s="60"/>
      <c r="AC607" s="60"/>
      <c r="AD607" s="60"/>
      <c r="AE607" s="60"/>
      <c r="AF607" s="60"/>
      <c r="AG607" s="60"/>
      <c r="AH607" s="60"/>
      <c r="AI607" s="60"/>
      <c r="AJ607" s="60"/>
    </row>
    <row r="608" spans="1:36" s="59" customFormat="1" ht="35.25">
      <c r="A608" s="193"/>
      <c r="B608" s="203"/>
      <c r="C608" s="186"/>
      <c r="D608" s="186"/>
      <c r="E608" s="186"/>
      <c r="F608" s="186"/>
      <c r="G608" s="186"/>
      <c r="H608" s="186"/>
      <c r="I608" s="186"/>
      <c r="J608" s="186"/>
      <c r="K608" s="186"/>
      <c r="L608" s="370"/>
      <c r="M608" s="370"/>
      <c r="N608" s="370"/>
      <c r="O608" s="370"/>
      <c r="P608" s="370"/>
      <c r="Q608" s="186"/>
      <c r="R608" s="186"/>
      <c r="S608" s="186"/>
      <c r="T608" s="186"/>
      <c r="U608" s="186"/>
      <c r="V608" s="186"/>
      <c r="W608" s="186"/>
      <c r="X608" s="186"/>
      <c r="Y608" s="186"/>
      <c r="Z608" s="305"/>
      <c r="AA608" s="60"/>
      <c r="AB608" s="60"/>
      <c r="AC608" s="60"/>
      <c r="AD608" s="60"/>
      <c r="AE608" s="60"/>
      <c r="AF608" s="60"/>
      <c r="AG608" s="60"/>
      <c r="AH608" s="60"/>
      <c r="AI608" s="60"/>
      <c r="AJ608" s="60"/>
    </row>
    <row r="609" spans="1:36" s="59" customFormat="1" ht="35.25">
      <c r="A609" s="193"/>
      <c r="B609" s="203"/>
      <c r="C609" s="186"/>
      <c r="D609" s="186"/>
      <c r="E609" s="186"/>
      <c r="F609" s="186"/>
      <c r="G609" s="186"/>
      <c r="H609" s="186"/>
      <c r="I609" s="186"/>
      <c r="J609" s="186"/>
      <c r="K609" s="186"/>
      <c r="L609" s="370"/>
      <c r="M609" s="370"/>
      <c r="N609" s="370"/>
      <c r="O609" s="370"/>
      <c r="P609" s="370"/>
      <c r="Q609" s="186"/>
      <c r="R609" s="186"/>
      <c r="S609" s="186"/>
      <c r="T609" s="186"/>
      <c r="U609" s="186"/>
      <c r="V609" s="186"/>
      <c r="W609" s="186"/>
      <c r="X609" s="186"/>
      <c r="Y609" s="186"/>
      <c r="Z609" s="305"/>
      <c r="AA609" s="60"/>
      <c r="AB609" s="60"/>
      <c r="AC609" s="60"/>
      <c r="AD609" s="60"/>
      <c r="AE609" s="60"/>
      <c r="AF609" s="60"/>
      <c r="AG609" s="60"/>
      <c r="AH609" s="60"/>
      <c r="AI609" s="60"/>
      <c r="AJ609" s="60"/>
    </row>
    <row r="610" spans="1:36" s="59" customFormat="1" ht="35.25">
      <c r="A610" s="193"/>
      <c r="B610" s="203"/>
      <c r="C610" s="186"/>
      <c r="D610" s="186"/>
      <c r="E610" s="186"/>
      <c r="F610" s="186"/>
      <c r="G610" s="186"/>
      <c r="H610" s="186"/>
      <c r="I610" s="186"/>
      <c r="J610" s="186"/>
      <c r="K610" s="186"/>
      <c r="L610" s="370"/>
      <c r="M610" s="370"/>
      <c r="N610" s="370"/>
      <c r="O610" s="370"/>
      <c r="P610" s="370"/>
      <c r="Q610" s="186"/>
      <c r="R610" s="186"/>
      <c r="S610" s="186"/>
      <c r="T610" s="186"/>
      <c r="U610" s="186"/>
      <c r="V610" s="186"/>
      <c r="W610" s="186"/>
      <c r="X610" s="186"/>
      <c r="Y610" s="186"/>
      <c r="Z610" s="305"/>
      <c r="AA610" s="60"/>
      <c r="AB610" s="60"/>
      <c r="AC610" s="60"/>
      <c r="AD610" s="60"/>
      <c r="AE610" s="60"/>
      <c r="AF610" s="60"/>
      <c r="AG610" s="60"/>
      <c r="AH610" s="60"/>
      <c r="AI610" s="60"/>
      <c r="AJ610" s="60"/>
    </row>
    <row r="611" spans="1:36" s="59" customFormat="1" ht="35.25">
      <c r="A611" s="193"/>
      <c r="B611" s="203"/>
      <c r="C611" s="186"/>
      <c r="D611" s="186"/>
      <c r="E611" s="186"/>
      <c r="F611" s="186"/>
      <c r="G611" s="186"/>
      <c r="H611" s="186"/>
      <c r="I611" s="186"/>
      <c r="J611" s="186"/>
      <c r="K611" s="186"/>
      <c r="L611" s="370"/>
      <c r="M611" s="370"/>
      <c r="N611" s="370"/>
      <c r="O611" s="370"/>
      <c r="P611" s="370"/>
      <c r="Q611" s="186"/>
      <c r="R611" s="186"/>
      <c r="S611" s="186"/>
      <c r="T611" s="186"/>
      <c r="U611" s="186"/>
      <c r="V611" s="186"/>
      <c r="W611" s="186"/>
      <c r="X611" s="186"/>
      <c r="Y611" s="186"/>
      <c r="Z611" s="305"/>
      <c r="AA611" s="60"/>
      <c r="AB611" s="60"/>
      <c r="AC611" s="60"/>
      <c r="AD611" s="60"/>
      <c r="AE611" s="60"/>
      <c r="AF611" s="60"/>
      <c r="AG611" s="60"/>
      <c r="AH611" s="60"/>
      <c r="AI611" s="60"/>
      <c r="AJ611" s="60"/>
    </row>
    <row r="612" spans="1:36" s="59" customFormat="1" ht="35.25">
      <c r="A612" s="193"/>
      <c r="B612" s="203"/>
      <c r="C612" s="186"/>
      <c r="D612" s="186"/>
      <c r="E612" s="186"/>
      <c r="F612" s="186"/>
      <c r="G612" s="186"/>
      <c r="H612" s="186"/>
      <c r="I612" s="186"/>
      <c r="J612" s="186"/>
      <c r="K612" s="186"/>
      <c r="L612" s="370"/>
      <c r="M612" s="370"/>
      <c r="N612" s="370"/>
      <c r="O612" s="370"/>
      <c r="P612" s="370"/>
      <c r="Q612" s="186"/>
      <c r="R612" s="186"/>
      <c r="S612" s="186"/>
      <c r="T612" s="186"/>
      <c r="U612" s="186"/>
      <c r="V612" s="186"/>
      <c r="W612" s="186"/>
      <c r="X612" s="186"/>
      <c r="Y612" s="186"/>
      <c r="Z612" s="305"/>
      <c r="AA612" s="60"/>
      <c r="AB612" s="60"/>
      <c r="AC612" s="60"/>
      <c r="AD612" s="60"/>
      <c r="AE612" s="60"/>
      <c r="AF612" s="60"/>
      <c r="AG612" s="60"/>
      <c r="AH612" s="60"/>
      <c r="AI612" s="60"/>
      <c r="AJ612" s="60"/>
    </row>
    <row r="613" spans="1:36" s="59" customFormat="1" ht="35.25">
      <c r="A613" s="193"/>
      <c r="B613" s="203"/>
      <c r="C613" s="186"/>
      <c r="D613" s="186"/>
      <c r="E613" s="186"/>
      <c r="F613" s="186"/>
      <c r="G613" s="186"/>
      <c r="H613" s="186"/>
      <c r="I613" s="186"/>
      <c r="J613" s="186"/>
      <c r="K613" s="186"/>
      <c r="L613" s="370"/>
      <c r="M613" s="370"/>
      <c r="N613" s="370"/>
      <c r="O613" s="370"/>
      <c r="P613" s="370"/>
      <c r="Q613" s="186"/>
      <c r="R613" s="186"/>
      <c r="S613" s="186"/>
      <c r="T613" s="186"/>
      <c r="U613" s="186"/>
      <c r="V613" s="186"/>
      <c r="W613" s="186"/>
      <c r="X613" s="186"/>
      <c r="Y613" s="186"/>
      <c r="Z613" s="305"/>
      <c r="AA613" s="60"/>
      <c r="AB613" s="60"/>
      <c r="AC613" s="60"/>
      <c r="AD613" s="60"/>
      <c r="AE613" s="60"/>
      <c r="AF613" s="60"/>
      <c r="AG613" s="60"/>
      <c r="AH613" s="60"/>
      <c r="AI613" s="60"/>
      <c r="AJ613" s="60"/>
    </row>
    <row r="614" spans="1:36" s="59" customFormat="1" ht="35.25">
      <c r="A614" s="193"/>
      <c r="B614" s="203"/>
      <c r="C614" s="186"/>
      <c r="D614" s="186"/>
      <c r="E614" s="186"/>
      <c r="F614" s="186"/>
      <c r="G614" s="186"/>
      <c r="H614" s="186"/>
      <c r="I614" s="186"/>
      <c r="J614" s="186"/>
      <c r="K614" s="186"/>
      <c r="L614" s="370"/>
      <c r="M614" s="370"/>
      <c r="N614" s="370"/>
      <c r="O614" s="370"/>
      <c r="P614" s="370"/>
      <c r="Q614" s="186"/>
      <c r="R614" s="186"/>
      <c r="S614" s="186"/>
      <c r="T614" s="186"/>
      <c r="U614" s="186"/>
      <c r="V614" s="186"/>
      <c r="W614" s="186"/>
      <c r="X614" s="186"/>
      <c r="Y614" s="186"/>
      <c r="Z614" s="305"/>
      <c r="AA614" s="60"/>
      <c r="AB614" s="60"/>
      <c r="AC614" s="60"/>
      <c r="AD614" s="60"/>
      <c r="AE614" s="60"/>
      <c r="AF614" s="60"/>
      <c r="AG614" s="60"/>
      <c r="AH614" s="60"/>
      <c r="AI614" s="60"/>
      <c r="AJ614" s="60"/>
    </row>
    <row r="615" spans="1:36" s="59" customFormat="1" ht="35.25">
      <c r="A615" s="193"/>
      <c r="B615" s="203"/>
      <c r="C615" s="186"/>
      <c r="D615" s="186"/>
      <c r="E615" s="186"/>
      <c r="F615" s="186"/>
      <c r="G615" s="186"/>
      <c r="H615" s="186"/>
      <c r="I615" s="186"/>
      <c r="J615" s="186"/>
      <c r="K615" s="186"/>
      <c r="L615" s="370"/>
      <c r="M615" s="370"/>
      <c r="N615" s="370"/>
      <c r="O615" s="370"/>
      <c r="P615" s="370"/>
      <c r="Q615" s="186"/>
      <c r="R615" s="186"/>
      <c r="S615" s="186"/>
      <c r="T615" s="186"/>
      <c r="U615" s="186"/>
      <c r="V615" s="186"/>
      <c r="W615" s="186"/>
      <c r="X615" s="186"/>
      <c r="Y615" s="186"/>
      <c r="Z615" s="305"/>
      <c r="AA615" s="60"/>
      <c r="AB615" s="60"/>
      <c r="AC615" s="60"/>
      <c r="AD615" s="60"/>
      <c r="AE615" s="60"/>
      <c r="AF615" s="60"/>
      <c r="AG615" s="60"/>
      <c r="AH615" s="60"/>
      <c r="AI615" s="60"/>
      <c r="AJ615" s="60"/>
    </row>
    <row r="616" spans="1:36" s="59" customFormat="1" ht="35.25">
      <c r="A616" s="193"/>
      <c r="B616" s="203"/>
      <c r="C616" s="186"/>
      <c r="D616" s="186"/>
      <c r="E616" s="186"/>
      <c r="F616" s="186"/>
      <c r="G616" s="186"/>
      <c r="H616" s="186"/>
      <c r="I616" s="186"/>
      <c r="J616" s="186"/>
      <c r="K616" s="186"/>
      <c r="L616" s="370"/>
      <c r="M616" s="370"/>
      <c r="N616" s="370"/>
      <c r="O616" s="370"/>
      <c r="P616" s="370"/>
      <c r="Q616" s="186"/>
      <c r="R616" s="186"/>
      <c r="S616" s="186"/>
      <c r="T616" s="186"/>
      <c r="U616" s="186"/>
      <c r="V616" s="186"/>
      <c r="W616" s="186"/>
      <c r="X616" s="186"/>
      <c r="Y616" s="186"/>
      <c r="Z616" s="305"/>
      <c r="AA616" s="60"/>
      <c r="AB616" s="60"/>
      <c r="AC616" s="60"/>
      <c r="AD616" s="60"/>
      <c r="AE616" s="60"/>
      <c r="AF616" s="60"/>
      <c r="AG616" s="60"/>
      <c r="AH616" s="60"/>
      <c r="AI616" s="60"/>
      <c r="AJ616" s="60"/>
    </row>
    <row r="617" spans="1:36" s="59" customFormat="1" ht="35.25">
      <c r="A617" s="193"/>
      <c r="B617" s="203"/>
      <c r="C617" s="186"/>
      <c r="D617" s="186"/>
      <c r="E617" s="186"/>
      <c r="F617" s="186"/>
      <c r="G617" s="186"/>
      <c r="H617" s="186"/>
      <c r="I617" s="186"/>
      <c r="J617" s="186"/>
      <c r="K617" s="186"/>
      <c r="L617" s="370"/>
      <c r="M617" s="370"/>
      <c r="N617" s="370"/>
      <c r="O617" s="370"/>
      <c r="P617" s="370"/>
      <c r="Q617" s="186"/>
      <c r="R617" s="186"/>
      <c r="S617" s="186"/>
      <c r="T617" s="186"/>
      <c r="U617" s="186"/>
      <c r="V617" s="186"/>
      <c r="W617" s="186"/>
      <c r="X617" s="186"/>
      <c r="Y617" s="186"/>
      <c r="Z617" s="305"/>
      <c r="AA617" s="60"/>
      <c r="AB617" s="60"/>
      <c r="AC617" s="60"/>
      <c r="AD617" s="60"/>
      <c r="AE617" s="60"/>
      <c r="AF617" s="60"/>
      <c r="AG617" s="60"/>
      <c r="AH617" s="60"/>
      <c r="AI617" s="60"/>
      <c r="AJ617" s="60"/>
    </row>
    <row r="618" spans="1:36" s="59" customFormat="1" ht="35.25">
      <c r="A618" s="193"/>
      <c r="B618" s="203"/>
      <c r="C618" s="186"/>
      <c r="D618" s="186"/>
      <c r="E618" s="186"/>
      <c r="F618" s="186"/>
      <c r="G618" s="186"/>
      <c r="H618" s="186"/>
      <c r="I618" s="186"/>
      <c r="J618" s="186"/>
      <c r="K618" s="186"/>
      <c r="L618" s="370"/>
      <c r="M618" s="370"/>
      <c r="N618" s="370"/>
      <c r="O618" s="370"/>
      <c r="P618" s="370"/>
      <c r="Q618" s="186"/>
      <c r="R618" s="186"/>
      <c r="S618" s="186"/>
      <c r="T618" s="186"/>
      <c r="U618" s="186"/>
      <c r="V618" s="186"/>
      <c r="W618" s="186"/>
      <c r="X618" s="186"/>
      <c r="Y618" s="186"/>
      <c r="Z618" s="305"/>
      <c r="AA618" s="60"/>
      <c r="AB618" s="60"/>
      <c r="AC618" s="60"/>
      <c r="AD618" s="60"/>
      <c r="AE618" s="60"/>
      <c r="AF618" s="60"/>
      <c r="AG618" s="60"/>
      <c r="AH618" s="60"/>
      <c r="AI618" s="60"/>
      <c r="AJ618" s="60"/>
    </row>
    <row r="619" spans="1:36" s="59" customFormat="1" ht="35.25">
      <c r="A619" s="193"/>
      <c r="B619" s="203"/>
      <c r="C619" s="186"/>
      <c r="D619" s="186"/>
      <c r="E619" s="186"/>
      <c r="F619" s="186"/>
      <c r="G619" s="186"/>
      <c r="H619" s="186"/>
      <c r="I619" s="186"/>
      <c r="J619" s="186"/>
      <c r="K619" s="186"/>
      <c r="L619" s="370"/>
      <c r="M619" s="370"/>
      <c r="N619" s="370"/>
      <c r="O619" s="370"/>
      <c r="P619" s="370"/>
      <c r="Q619" s="186"/>
      <c r="R619" s="186"/>
      <c r="S619" s="186"/>
      <c r="T619" s="186"/>
      <c r="U619" s="186"/>
      <c r="V619" s="186"/>
      <c r="W619" s="186"/>
      <c r="X619" s="186"/>
      <c r="Y619" s="186"/>
      <c r="Z619" s="305"/>
      <c r="AA619" s="60"/>
      <c r="AB619" s="60"/>
      <c r="AC619" s="60"/>
      <c r="AD619" s="60"/>
      <c r="AE619" s="60"/>
      <c r="AF619" s="60"/>
      <c r="AG619" s="60"/>
      <c r="AH619" s="60"/>
      <c r="AI619" s="60"/>
      <c r="AJ619" s="60"/>
    </row>
    <row r="620" spans="1:36" s="59" customFormat="1" ht="35.25">
      <c r="A620" s="193"/>
      <c r="B620" s="203"/>
      <c r="C620" s="186"/>
      <c r="D620" s="186"/>
      <c r="E620" s="186"/>
      <c r="F620" s="186"/>
      <c r="G620" s="186"/>
      <c r="H620" s="186"/>
      <c r="I620" s="186"/>
      <c r="J620" s="186"/>
      <c r="K620" s="186"/>
      <c r="L620" s="370"/>
      <c r="M620" s="370"/>
      <c r="N620" s="370"/>
      <c r="O620" s="370"/>
      <c r="P620" s="370"/>
      <c r="Q620" s="186"/>
      <c r="R620" s="186"/>
      <c r="S620" s="186"/>
      <c r="T620" s="186"/>
      <c r="U620" s="186"/>
      <c r="V620" s="186"/>
      <c r="W620" s="186"/>
      <c r="X620" s="186"/>
      <c r="Y620" s="186"/>
      <c r="Z620" s="305"/>
      <c r="AA620" s="60"/>
      <c r="AB620" s="60"/>
      <c r="AC620" s="60"/>
      <c r="AD620" s="60"/>
      <c r="AE620" s="60"/>
      <c r="AF620" s="60"/>
      <c r="AG620" s="60"/>
      <c r="AH620" s="60"/>
      <c r="AI620" s="60"/>
      <c r="AJ620" s="60"/>
    </row>
    <row r="621" spans="1:36" s="59" customFormat="1" ht="35.25">
      <c r="A621" s="193"/>
      <c r="B621" s="203"/>
      <c r="C621" s="186"/>
      <c r="D621" s="186"/>
      <c r="E621" s="186"/>
      <c r="F621" s="186"/>
      <c r="G621" s="186"/>
      <c r="H621" s="186"/>
      <c r="I621" s="186"/>
      <c r="J621" s="186"/>
      <c r="K621" s="186"/>
      <c r="L621" s="370"/>
      <c r="M621" s="370"/>
      <c r="N621" s="370"/>
      <c r="O621" s="370"/>
      <c r="P621" s="370"/>
      <c r="Q621" s="186"/>
      <c r="R621" s="186"/>
      <c r="S621" s="186"/>
      <c r="T621" s="186"/>
      <c r="U621" s="186"/>
      <c r="V621" s="186"/>
      <c r="W621" s="186"/>
      <c r="X621" s="186"/>
      <c r="Y621" s="186"/>
      <c r="Z621" s="305"/>
      <c r="AA621" s="60"/>
      <c r="AB621" s="60"/>
      <c r="AC621" s="60"/>
      <c r="AD621" s="60"/>
      <c r="AE621" s="60"/>
      <c r="AF621" s="60"/>
      <c r="AG621" s="60"/>
      <c r="AH621" s="60"/>
      <c r="AI621" s="60"/>
      <c r="AJ621" s="60"/>
    </row>
    <row r="622" spans="1:36" s="59" customFormat="1" ht="35.25">
      <c r="A622" s="193"/>
      <c r="B622" s="203"/>
      <c r="C622" s="186"/>
      <c r="D622" s="186"/>
      <c r="E622" s="186"/>
      <c r="F622" s="186"/>
      <c r="G622" s="186"/>
      <c r="H622" s="186"/>
      <c r="I622" s="186"/>
      <c r="J622" s="186"/>
      <c r="K622" s="186"/>
      <c r="L622" s="370"/>
      <c r="M622" s="370"/>
      <c r="N622" s="370"/>
      <c r="O622" s="370"/>
      <c r="P622" s="370"/>
      <c r="Q622" s="186"/>
      <c r="R622" s="186"/>
      <c r="S622" s="186"/>
      <c r="T622" s="186"/>
      <c r="U622" s="186"/>
      <c r="V622" s="186"/>
      <c r="W622" s="186"/>
      <c r="X622" s="186"/>
      <c r="Y622" s="186"/>
      <c r="Z622" s="305"/>
      <c r="AA622" s="60"/>
      <c r="AB622" s="60"/>
      <c r="AC622" s="60"/>
      <c r="AD622" s="60"/>
      <c r="AE622" s="60"/>
      <c r="AF622" s="60"/>
      <c r="AG622" s="60"/>
      <c r="AH622" s="60"/>
      <c r="AI622" s="60"/>
      <c r="AJ622" s="60"/>
    </row>
    <row r="623" spans="1:36" s="59" customFormat="1" ht="35.25">
      <c r="A623" s="193"/>
      <c r="B623" s="203"/>
      <c r="C623" s="186"/>
      <c r="D623" s="186"/>
      <c r="E623" s="186"/>
      <c r="F623" s="186"/>
      <c r="G623" s="186"/>
      <c r="H623" s="186"/>
      <c r="I623" s="186"/>
      <c r="J623" s="186"/>
      <c r="K623" s="186"/>
      <c r="L623" s="370"/>
      <c r="M623" s="370"/>
      <c r="N623" s="370"/>
      <c r="O623" s="370"/>
      <c r="P623" s="370"/>
      <c r="Q623" s="186"/>
      <c r="R623" s="186"/>
      <c r="S623" s="186"/>
      <c r="T623" s="186"/>
      <c r="U623" s="186"/>
      <c r="V623" s="186"/>
      <c r="W623" s="186"/>
      <c r="X623" s="186"/>
      <c r="Y623" s="186"/>
      <c r="Z623" s="305"/>
      <c r="AA623" s="60"/>
      <c r="AB623" s="60"/>
      <c r="AC623" s="60"/>
      <c r="AD623" s="60"/>
      <c r="AE623" s="60"/>
      <c r="AF623" s="60"/>
      <c r="AG623" s="60"/>
      <c r="AH623" s="60"/>
      <c r="AI623" s="60"/>
      <c r="AJ623" s="60"/>
    </row>
    <row r="624" spans="1:36" s="59" customFormat="1" ht="35.25">
      <c r="A624" s="193"/>
      <c r="B624" s="203"/>
      <c r="C624" s="186"/>
      <c r="D624" s="186"/>
      <c r="E624" s="186"/>
      <c r="F624" s="186"/>
      <c r="G624" s="186"/>
      <c r="H624" s="186"/>
      <c r="I624" s="186"/>
      <c r="J624" s="186"/>
      <c r="K624" s="186"/>
      <c r="L624" s="370"/>
      <c r="M624" s="370"/>
      <c r="N624" s="370"/>
      <c r="O624" s="370"/>
      <c r="P624" s="370"/>
      <c r="Q624" s="186"/>
      <c r="R624" s="186"/>
      <c r="S624" s="186"/>
      <c r="T624" s="186"/>
      <c r="U624" s="186"/>
      <c r="V624" s="186"/>
      <c r="W624" s="186"/>
      <c r="X624" s="186"/>
      <c r="Y624" s="186"/>
      <c r="Z624" s="305"/>
      <c r="AA624" s="60"/>
      <c r="AB624" s="60"/>
      <c r="AC624" s="60"/>
      <c r="AD624" s="60"/>
      <c r="AE624" s="60"/>
      <c r="AF624" s="60"/>
      <c r="AG624" s="60"/>
      <c r="AH624" s="60"/>
      <c r="AI624" s="60"/>
      <c r="AJ624" s="60"/>
    </row>
    <row r="625" spans="1:36" s="59" customFormat="1" ht="35.25">
      <c r="A625" s="193"/>
      <c r="B625" s="203"/>
      <c r="C625" s="186"/>
      <c r="D625" s="186"/>
      <c r="E625" s="186"/>
      <c r="F625" s="186"/>
      <c r="G625" s="186"/>
      <c r="H625" s="186"/>
      <c r="I625" s="186"/>
      <c r="J625" s="186"/>
      <c r="K625" s="186"/>
      <c r="L625" s="370"/>
      <c r="M625" s="370"/>
      <c r="N625" s="370"/>
      <c r="O625" s="370"/>
      <c r="P625" s="370"/>
      <c r="Q625" s="186"/>
      <c r="R625" s="186"/>
      <c r="S625" s="186"/>
      <c r="T625" s="186"/>
      <c r="U625" s="186"/>
      <c r="V625" s="186"/>
      <c r="W625" s="186"/>
      <c r="X625" s="186"/>
      <c r="Y625" s="186"/>
      <c r="Z625" s="305"/>
      <c r="AA625" s="60"/>
      <c r="AB625" s="60"/>
      <c r="AC625" s="60"/>
      <c r="AD625" s="60"/>
      <c r="AE625" s="60"/>
      <c r="AF625" s="60"/>
      <c r="AG625" s="60"/>
      <c r="AH625" s="60"/>
      <c r="AI625" s="60"/>
      <c r="AJ625" s="60"/>
    </row>
    <row r="626" spans="1:36" s="59" customFormat="1" ht="35.25">
      <c r="A626" s="193"/>
      <c r="B626" s="203"/>
      <c r="C626" s="186"/>
      <c r="D626" s="186"/>
      <c r="E626" s="186"/>
      <c r="F626" s="186"/>
      <c r="G626" s="186"/>
      <c r="H626" s="186"/>
      <c r="I626" s="186"/>
      <c r="J626" s="186"/>
      <c r="K626" s="186"/>
      <c r="L626" s="370"/>
      <c r="M626" s="370"/>
      <c r="N626" s="370"/>
      <c r="O626" s="370"/>
      <c r="P626" s="370"/>
      <c r="Q626" s="186"/>
      <c r="R626" s="186"/>
      <c r="S626" s="186"/>
      <c r="T626" s="186"/>
      <c r="U626" s="186"/>
      <c r="V626" s="186"/>
      <c r="W626" s="186"/>
      <c r="X626" s="186"/>
      <c r="Y626" s="186"/>
      <c r="Z626" s="305"/>
      <c r="AA626" s="60"/>
      <c r="AB626" s="60"/>
      <c r="AC626" s="60"/>
      <c r="AD626" s="60"/>
      <c r="AE626" s="60"/>
      <c r="AF626" s="60"/>
      <c r="AG626" s="60"/>
      <c r="AH626" s="60"/>
      <c r="AI626" s="60"/>
      <c r="AJ626" s="60"/>
    </row>
    <row r="627" spans="1:36" s="59" customFormat="1" ht="35.25">
      <c r="A627" s="193"/>
      <c r="B627" s="203"/>
      <c r="C627" s="186"/>
      <c r="D627" s="186"/>
      <c r="E627" s="186"/>
      <c r="F627" s="186"/>
      <c r="G627" s="186"/>
      <c r="H627" s="186"/>
      <c r="I627" s="186"/>
      <c r="J627" s="186"/>
      <c r="K627" s="186"/>
      <c r="L627" s="370"/>
      <c r="M627" s="370"/>
      <c r="N627" s="370"/>
      <c r="O627" s="370"/>
      <c r="P627" s="370"/>
      <c r="Q627" s="186"/>
      <c r="R627" s="186"/>
      <c r="S627" s="186"/>
      <c r="T627" s="186"/>
      <c r="U627" s="186"/>
      <c r="V627" s="186"/>
      <c r="W627" s="186"/>
      <c r="X627" s="186"/>
      <c r="Y627" s="186"/>
      <c r="Z627" s="305"/>
      <c r="AA627" s="60"/>
      <c r="AB627" s="60"/>
      <c r="AC627" s="60"/>
      <c r="AD627" s="60"/>
      <c r="AE627" s="60"/>
      <c r="AF627" s="60"/>
      <c r="AG627" s="60"/>
      <c r="AH627" s="60"/>
      <c r="AI627" s="60"/>
      <c r="AJ627" s="60"/>
    </row>
    <row r="628" spans="1:36" s="59" customFormat="1" ht="35.25">
      <c r="A628" s="193"/>
      <c r="B628" s="203"/>
      <c r="C628" s="186"/>
      <c r="D628" s="186"/>
      <c r="E628" s="186"/>
      <c r="F628" s="186"/>
      <c r="G628" s="186"/>
      <c r="H628" s="186"/>
      <c r="I628" s="186"/>
      <c r="J628" s="186"/>
      <c r="K628" s="186"/>
      <c r="L628" s="370"/>
      <c r="M628" s="370"/>
      <c r="N628" s="370"/>
      <c r="O628" s="370"/>
      <c r="P628" s="370"/>
      <c r="Q628" s="186"/>
      <c r="R628" s="186"/>
      <c r="S628" s="186"/>
      <c r="T628" s="186"/>
      <c r="U628" s="186"/>
      <c r="V628" s="186"/>
      <c r="W628" s="186"/>
      <c r="X628" s="186"/>
      <c r="Y628" s="186"/>
      <c r="Z628" s="305"/>
      <c r="AA628" s="60"/>
      <c r="AB628" s="60"/>
      <c r="AC628" s="60"/>
      <c r="AD628" s="60"/>
      <c r="AE628" s="60"/>
      <c r="AF628" s="60"/>
      <c r="AG628" s="60"/>
      <c r="AH628" s="60"/>
      <c r="AI628" s="60"/>
      <c r="AJ628" s="60"/>
    </row>
    <row r="629" spans="1:36" s="59" customFormat="1" ht="35.25">
      <c r="A629" s="193"/>
      <c r="B629" s="203"/>
      <c r="C629" s="186"/>
      <c r="D629" s="186"/>
      <c r="E629" s="186"/>
      <c r="F629" s="186"/>
      <c r="G629" s="186"/>
      <c r="H629" s="186"/>
      <c r="I629" s="186"/>
      <c r="J629" s="186"/>
      <c r="K629" s="186"/>
      <c r="L629" s="370"/>
      <c r="M629" s="370"/>
      <c r="N629" s="370"/>
      <c r="O629" s="370"/>
      <c r="P629" s="370"/>
      <c r="Q629" s="186"/>
      <c r="R629" s="186"/>
      <c r="S629" s="186"/>
      <c r="T629" s="186"/>
      <c r="U629" s="186"/>
      <c r="V629" s="186"/>
      <c r="W629" s="186"/>
      <c r="X629" s="186"/>
      <c r="Y629" s="186"/>
      <c r="Z629" s="305"/>
      <c r="AA629" s="60"/>
      <c r="AB629" s="60"/>
      <c r="AC629" s="60"/>
      <c r="AD629" s="60"/>
      <c r="AE629" s="60"/>
      <c r="AF629" s="60"/>
      <c r="AG629" s="60"/>
      <c r="AH629" s="60"/>
      <c r="AI629" s="60"/>
      <c r="AJ629" s="60"/>
    </row>
    <row r="630" spans="1:36" s="59" customFormat="1" ht="35.25">
      <c r="A630" s="193"/>
      <c r="B630" s="203"/>
      <c r="C630" s="186"/>
      <c r="D630" s="186"/>
      <c r="E630" s="186"/>
      <c r="F630" s="186"/>
      <c r="G630" s="186"/>
      <c r="H630" s="186"/>
      <c r="I630" s="186"/>
      <c r="J630" s="186"/>
      <c r="K630" s="186"/>
      <c r="L630" s="370"/>
      <c r="M630" s="370"/>
      <c r="N630" s="370"/>
      <c r="O630" s="370"/>
      <c r="P630" s="370"/>
      <c r="Q630" s="186"/>
      <c r="R630" s="186"/>
      <c r="S630" s="186"/>
      <c r="T630" s="186"/>
      <c r="U630" s="186"/>
      <c r="V630" s="186"/>
      <c r="W630" s="186"/>
      <c r="X630" s="186"/>
      <c r="Y630" s="186"/>
      <c r="Z630" s="305"/>
      <c r="AA630" s="60"/>
      <c r="AB630" s="60"/>
      <c r="AC630" s="60"/>
      <c r="AD630" s="60"/>
      <c r="AE630" s="60"/>
      <c r="AF630" s="60"/>
      <c r="AG630" s="60"/>
      <c r="AH630" s="60"/>
      <c r="AI630" s="60"/>
      <c r="AJ630" s="60"/>
    </row>
    <row r="631" spans="1:36" s="59" customFormat="1" ht="35.25">
      <c r="A631" s="193"/>
      <c r="B631" s="203"/>
      <c r="C631" s="186"/>
      <c r="D631" s="186"/>
      <c r="E631" s="186"/>
      <c r="F631" s="186"/>
      <c r="G631" s="186"/>
      <c r="H631" s="186"/>
      <c r="I631" s="186"/>
      <c r="J631" s="186"/>
      <c r="K631" s="186"/>
      <c r="L631" s="370"/>
      <c r="M631" s="370"/>
      <c r="N631" s="370"/>
      <c r="O631" s="370"/>
      <c r="P631" s="370"/>
      <c r="Q631" s="186"/>
      <c r="R631" s="186"/>
      <c r="S631" s="186"/>
      <c r="T631" s="186"/>
      <c r="U631" s="186"/>
      <c r="V631" s="186"/>
      <c r="W631" s="186"/>
      <c r="X631" s="186"/>
      <c r="Y631" s="186"/>
      <c r="Z631" s="305"/>
      <c r="AA631" s="60"/>
      <c r="AB631" s="60"/>
      <c r="AC631" s="60"/>
      <c r="AD631" s="60"/>
      <c r="AE631" s="60"/>
      <c r="AF631" s="60"/>
      <c r="AG631" s="60"/>
      <c r="AH631" s="60"/>
      <c r="AI631" s="60"/>
      <c r="AJ631" s="60"/>
    </row>
    <row r="632" spans="1:36" s="59" customFormat="1" ht="35.25">
      <c r="A632" s="193"/>
      <c r="B632" s="203"/>
      <c r="C632" s="186"/>
      <c r="D632" s="186"/>
      <c r="E632" s="186"/>
      <c r="F632" s="186"/>
      <c r="G632" s="186"/>
      <c r="H632" s="186"/>
      <c r="I632" s="186"/>
      <c r="J632" s="186"/>
      <c r="K632" s="186"/>
      <c r="L632" s="370"/>
      <c r="M632" s="370"/>
      <c r="N632" s="370"/>
      <c r="O632" s="370"/>
      <c r="P632" s="370"/>
      <c r="Q632" s="186"/>
      <c r="R632" s="186"/>
      <c r="S632" s="186"/>
      <c r="T632" s="186"/>
      <c r="U632" s="186"/>
      <c r="V632" s="186"/>
      <c r="W632" s="186"/>
      <c r="X632" s="186"/>
      <c r="Y632" s="186"/>
      <c r="Z632" s="305"/>
      <c r="AA632" s="60"/>
      <c r="AB632" s="60"/>
      <c r="AC632" s="60"/>
      <c r="AD632" s="60"/>
      <c r="AE632" s="60"/>
      <c r="AF632" s="60"/>
      <c r="AG632" s="60"/>
      <c r="AH632" s="60"/>
      <c r="AI632" s="60"/>
      <c r="AJ632" s="60"/>
    </row>
    <row r="633" spans="1:36" s="59" customFormat="1" ht="35.25">
      <c r="A633" s="193"/>
      <c r="B633" s="203"/>
      <c r="C633" s="186"/>
      <c r="D633" s="186"/>
      <c r="E633" s="186"/>
      <c r="F633" s="186"/>
      <c r="G633" s="186"/>
      <c r="H633" s="186"/>
      <c r="I633" s="186"/>
      <c r="J633" s="186"/>
      <c r="K633" s="186"/>
      <c r="L633" s="370"/>
      <c r="M633" s="370"/>
      <c r="N633" s="370"/>
      <c r="O633" s="370"/>
      <c r="P633" s="370"/>
      <c r="Q633" s="186"/>
      <c r="R633" s="186"/>
      <c r="S633" s="186"/>
      <c r="T633" s="186"/>
      <c r="U633" s="186"/>
      <c r="V633" s="186"/>
      <c r="W633" s="186"/>
      <c r="X633" s="186"/>
      <c r="Y633" s="186"/>
      <c r="Z633" s="305"/>
      <c r="AA633" s="60"/>
      <c r="AB633" s="60"/>
      <c r="AC633" s="60"/>
      <c r="AD633" s="60"/>
      <c r="AE633" s="60"/>
      <c r="AF633" s="60"/>
      <c r="AG633" s="60"/>
      <c r="AH633" s="60"/>
      <c r="AI633" s="60"/>
      <c r="AJ633" s="60"/>
    </row>
    <row r="634" spans="1:36" s="59" customFormat="1" ht="35.25">
      <c r="A634" s="193"/>
      <c r="B634" s="203"/>
      <c r="C634" s="186"/>
      <c r="D634" s="186"/>
      <c r="E634" s="186"/>
      <c r="F634" s="186"/>
      <c r="G634" s="186"/>
      <c r="H634" s="186"/>
      <c r="I634" s="186"/>
      <c r="J634" s="186"/>
      <c r="K634" s="186"/>
      <c r="L634" s="370"/>
      <c r="M634" s="370"/>
      <c r="N634" s="370"/>
      <c r="O634" s="370"/>
      <c r="P634" s="370"/>
      <c r="Q634" s="186"/>
      <c r="R634" s="186"/>
      <c r="S634" s="186"/>
      <c r="T634" s="186"/>
      <c r="U634" s="186"/>
      <c r="V634" s="186"/>
      <c r="W634" s="186"/>
      <c r="X634" s="186"/>
      <c r="Y634" s="186"/>
      <c r="Z634" s="305"/>
      <c r="AA634" s="60"/>
      <c r="AB634" s="60"/>
      <c r="AC634" s="60"/>
      <c r="AD634" s="60"/>
      <c r="AE634" s="60"/>
      <c r="AF634" s="60"/>
      <c r="AG634" s="60"/>
      <c r="AH634" s="60"/>
      <c r="AI634" s="60"/>
      <c r="AJ634" s="60"/>
    </row>
    <row r="635" spans="1:36" s="59" customFormat="1" ht="35.25">
      <c r="A635" s="193"/>
      <c r="B635" s="203"/>
      <c r="C635" s="186"/>
      <c r="D635" s="186"/>
      <c r="E635" s="186"/>
      <c r="F635" s="186"/>
      <c r="G635" s="186"/>
      <c r="H635" s="186"/>
      <c r="I635" s="186"/>
      <c r="J635" s="186"/>
      <c r="K635" s="186"/>
      <c r="L635" s="370"/>
      <c r="M635" s="370"/>
      <c r="N635" s="370"/>
      <c r="O635" s="370"/>
      <c r="P635" s="370"/>
      <c r="Q635" s="186"/>
      <c r="R635" s="186"/>
      <c r="S635" s="186"/>
      <c r="T635" s="186"/>
      <c r="U635" s="186"/>
      <c r="V635" s="186"/>
      <c r="W635" s="186"/>
      <c r="X635" s="186"/>
      <c r="Y635" s="186"/>
      <c r="Z635" s="305"/>
      <c r="AA635" s="60"/>
      <c r="AB635" s="60"/>
      <c r="AC635" s="60"/>
      <c r="AD635" s="60"/>
      <c r="AE635" s="60"/>
      <c r="AF635" s="60"/>
      <c r="AG635" s="60"/>
      <c r="AH635" s="60"/>
      <c r="AI635" s="60"/>
      <c r="AJ635" s="60"/>
    </row>
    <row r="636" spans="1:36" s="59" customFormat="1" ht="35.25">
      <c r="A636" s="193"/>
      <c r="B636" s="203"/>
      <c r="C636" s="186"/>
      <c r="D636" s="186"/>
      <c r="E636" s="186"/>
      <c r="F636" s="186"/>
      <c r="G636" s="186"/>
      <c r="H636" s="186"/>
      <c r="I636" s="186"/>
      <c r="J636" s="186"/>
      <c r="K636" s="186"/>
      <c r="L636" s="370"/>
      <c r="M636" s="370"/>
      <c r="N636" s="370"/>
      <c r="O636" s="370"/>
      <c r="P636" s="370"/>
      <c r="Q636" s="186"/>
      <c r="R636" s="186"/>
      <c r="S636" s="186"/>
      <c r="T636" s="186"/>
      <c r="U636" s="186"/>
      <c r="V636" s="186"/>
      <c r="W636" s="186"/>
      <c r="X636" s="186"/>
      <c r="Y636" s="186"/>
      <c r="Z636" s="305"/>
      <c r="AA636" s="60"/>
      <c r="AB636" s="60"/>
      <c r="AC636" s="60"/>
      <c r="AD636" s="60"/>
      <c r="AE636" s="60"/>
      <c r="AF636" s="60"/>
      <c r="AG636" s="60"/>
      <c r="AH636" s="60"/>
      <c r="AI636" s="60"/>
      <c r="AJ636" s="60"/>
    </row>
    <row r="637" spans="1:36" s="59" customFormat="1" ht="35.25">
      <c r="A637" s="193"/>
      <c r="B637" s="203"/>
      <c r="C637" s="186"/>
      <c r="D637" s="186"/>
      <c r="E637" s="186"/>
      <c r="F637" s="186"/>
      <c r="G637" s="186"/>
      <c r="H637" s="186"/>
      <c r="I637" s="186"/>
      <c r="J637" s="186"/>
      <c r="K637" s="186"/>
      <c r="L637" s="370"/>
      <c r="M637" s="370"/>
      <c r="N637" s="370"/>
      <c r="O637" s="370"/>
      <c r="P637" s="370"/>
      <c r="Q637" s="186"/>
      <c r="R637" s="186"/>
      <c r="S637" s="186"/>
      <c r="T637" s="186"/>
      <c r="U637" s="186"/>
      <c r="V637" s="186"/>
      <c r="W637" s="186"/>
      <c r="X637" s="186"/>
      <c r="Y637" s="186"/>
      <c r="Z637" s="305"/>
      <c r="AA637" s="60"/>
      <c r="AB637" s="60"/>
      <c r="AC637" s="60"/>
      <c r="AD637" s="60"/>
      <c r="AE637" s="60"/>
      <c r="AF637" s="60"/>
      <c r="AG637" s="60"/>
      <c r="AH637" s="60"/>
      <c r="AI637" s="60"/>
      <c r="AJ637" s="60"/>
    </row>
    <row r="638" spans="1:36" s="59" customFormat="1" ht="35.25">
      <c r="A638" s="193"/>
      <c r="B638" s="203"/>
      <c r="C638" s="186"/>
      <c r="D638" s="186"/>
      <c r="E638" s="186"/>
      <c r="F638" s="186"/>
      <c r="G638" s="186"/>
      <c r="H638" s="186"/>
      <c r="I638" s="186"/>
      <c r="J638" s="186"/>
      <c r="K638" s="186"/>
      <c r="L638" s="370"/>
      <c r="M638" s="370"/>
      <c r="N638" s="370"/>
      <c r="O638" s="370"/>
      <c r="P638" s="370"/>
      <c r="Q638" s="186"/>
      <c r="R638" s="186"/>
      <c r="S638" s="186"/>
      <c r="T638" s="186"/>
      <c r="U638" s="186"/>
      <c r="V638" s="186"/>
      <c r="W638" s="186"/>
      <c r="X638" s="186"/>
      <c r="Y638" s="186"/>
      <c r="Z638" s="305"/>
      <c r="AA638" s="60"/>
      <c r="AB638" s="60"/>
      <c r="AC638" s="60"/>
      <c r="AD638" s="60"/>
      <c r="AE638" s="60"/>
      <c r="AF638" s="60"/>
      <c r="AG638" s="60"/>
      <c r="AH638" s="60"/>
      <c r="AI638" s="60"/>
      <c r="AJ638" s="60"/>
    </row>
    <row r="639" spans="1:36" s="59" customFormat="1" ht="35.25">
      <c r="A639" s="193"/>
      <c r="B639" s="203"/>
      <c r="C639" s="186"/>
      <c r="D639" s="186"/>
      <c r="E639" s="186"/>
      <c r="F639" s="186"/>
      <c r="G639" s="186"/>
      <c r="H639" s="186"/>
      <c r="I639" s="186"/>
      <c r="J639" s="186"/>
      <c r="K639" s="186"/>
      <c r="L639" s="370"/>
      <c r="M639" s="370"/>
      <c r="N639" s="370"/>
      <c r="O639" s="370"/>
      <c r="P639" s="370"/>
      <c r="Q639" s="186"/>
      <c r="R639" s="186"/>
      <c r="S639" s="186"/>
      <c r="T639" s="186"/>
      <c r="U639" s="186"/>
      <c r="V639" s="186"/>
      <c r="W639" s="186"/>
      <c r="X639" s="186"/>
      <c r="Y639" s="186"/>
      <c r="Z639" s="305"/>
      <c r="AA639" s="60"/>
      <c r="AB639" s="60"/>
      <c r="AC639" s="60"/>
      <c r="AD639" s="60"/>
      <c r="AE639" s="60"/>
      <c r="AF639" s="60"/>
      <c r="AG639" s="60"/>
      <c r="AH639" s="60"/>
      <c r="AI639" s="60"/>
      <c r="AJ639" s="60"/>
    </row>
    <row r="640" spans="1:36" s="59" customFormat="1" ht="35.25">
      <c r="A640" s="193"/>
      <c r="B640" s="203"/>
      <c r="C640" s="186"/>
      <c r="D640" s="186"/>
      <c r="E640" s="186"/>
      <c r="F640" s="186"/>
      <c r="G640" s="186"/>
      <c r="H640" s="186"/>
      <c r="I640" s="186"/>
      <c r="J640" s="186"/>
      <c r="K640" s="186"/>
      <c r="L640" s="370"/>
      <c r="M640" s="370"/>
      <c r="N640" s="370"/>
      <c r="O640" s="370"/>
      <c r="P640" s="370"/>
      <c r="Q640" s="186"/>
      <c r="R640" s="186"/>
      <c r="S640" s="186"/>
      <c r="T640" s="186"/>
      <c r="U640" s="186"/>
      <c r="V640" s="186"/>
      <c r="W640" s="186"/>
      <c r="X640" s="186"/>
      <c r="Y640" s="186"/>
      <c r="Z640" s="305"/>
      <c r="AA640" s="60"/>
      <c r="AB640" s="60"/>
      <c r="AC640" s="60"/>
      <c r="AD640" s="60"/>
      <c r="AE640" s="60"/>
      <c r="AF640" s="60"/>
      <c r="AG640" s="60"/>
      <c r="AH640" s="60"/>
      <c r="AI640" s="60"/>
      <c r="AJ640" s="60"/>
    </row>
    <row r="641" spans="1:36" s="59" customFormat="1" ht="35.25">
      <c r="A641" s="193"/>
      <c r="B641" s="203"/>
      <c r="C641" s="186"/>
      <c r="D641" s="186"/>
      <c r="E641" s="186"/>
      <c r="F641" s="186"/>
      <c r="G641" s="186"/>
      <c r="H641" s="186"/>
      <c r="I641" s="186"/>
      <c r="J641" s="186"/>
      <c r="K641" s="186"/>
      <c r="L641" s="370"/>
      <c r="M641" s="370"/>
      <c r="N641" s="370"/>
      <c r="O641" s="370"/>
      <c r="P641" s="370"/>
      <c r="Q641" s="186"/>
      <c r="R641" s="186"/>
      <c r="S641" s="186"/>
      <c r="T641" s="186"/>
      <c r="U641" s="186"/>
      <c r="V641" s="186"/>
      <c r="W641" s="186"/>
      <c r="X641" s="186"/>
      <c r="Y641" s="186"/>
      <c r="Z641" s="305"/>
      <c r="AA641" s="60"/>
      <c r="AB641" s="60"/>
      <c r="AC641" s="60"/>
      <c r="AD641" s="60"/>
      <c r="AE641" s="60"/>
      <c r="AF641" s="60"/>
      <c r="AG641" s="60"/>
      <c r="AH641" s="60"/>
      <c r="AI641" s="60"/>
      <c r="AJ641" s="60"/>
    </row>
    <row r="642" spans="1:36" s="59" customFormat="1" ht="35.25">
      <c r="A642" s="193"/>
      <c r="B642" s="203"/>
      <c r="C642" s="186"/>
      <c r="D642" s="186"/>
      <c r="E642" s="186"/>
      <c r="F642" s="186"/>
      <c r="G642" s="186"/>
      <c r="H642" s="186"/>
      <c r="I642" s="186"/>
      <c r="J642" s="186"/>
      <c r="K642" s="186"/>
      <c r="L642" s="370"/>
      <c r="M642" s="370"/>
      <c r="N642" s="370"/>
      <c r="O642" s="370"/>
      <c r="P642" s="370"/>
      <c r="Q642" s="186"/>
      <c r="R642" s="186"/>
      <c r="S642" s="186"/>
      <c r="T642" s="186"/>
      <c r="U642" s="186"/>
      <c r="V642" s="186"/>
      <c r="W642" s="186"/>
      <c r="X642" s="186"/>
      <c r="Y642" s="186"/>
      <c r="Z642" s="305"/>
      <c r="AA642" s="60"/>
      <c r="AB642" s="60"/>
      <c r="AC642" s="60"/>
      <c r="AD642" s="60"/>
      <c r="AE642" s="60"/>
      <c r="AF642" s="60"/>
      <c r="AG642" s="60"/>
      <c r="AH642" s="60"/>
      <c r="AI642" s="60"/>
      <c r="AJ642" s="60"/>
    </row>
    <row r="643" spans="1:36" s="59" customFormat="1" ht="35.25">
      <c r="A643" s="193"/>
      <c r="B643" s="203"/>
      <c r="C643" s="186"/>
      <c r="D643" s="186"/>
      <c r="E643" s="186"/>
      <c r="F643" s="186"/>
      <c r="G643" s="186"/>
      <c r="H643" s="186"/>
      <c r="I643" s="186"/>
      <c r="J643" s="186"/>
      <c r="K643" s="186"/>
      <c r="L643" s="370"/>
      <c r="M643" s="370"/>
      <c r="N643" s="370"/>
      <c r="O643" s="370"/>
      <c r="P643" s="370"/>
      <c r="Q643" s="186"/>
      <c r="R643" s="186"/>
      <c r="S643" s="186"/>
      <c r="T643" s="186"/>
      <c r="U643" s="186"/>
      <c r="V643" s="186"/>
      <c r="W643" s="186"/>
      <c r="X643" s="186"/>
      <c r="Y643" s="186"/>
      <c r="Z643" s="305"/>
      <c r="AA643" s="60"/>
      <c r="AB643" s="60"/>
      <c r="AC643" s="60"/>
      <c r="AD643" s="60"/>
      <c r="AE643" s="60"/>
      <c r="AF643" s="60"/>
      <c r="AG643" s="60"/>
      <c r="AH643" s="60"/>
      <c r="AI643" s="60"/>
      <c r="AJ643" s="60"/>
    </row>
    <row r="644" spans="1:36" s="59" customFormat="1" ht="35.25">
      <c r="A644" s="193"/>
      <c r="B644" s="203"/>
      <c r="C644" s="186"/>
      <c r="D644" s="186"/>
      <c r="E644" s="186"/>
      <c r="F644" s="186"/>
      <c r="G644" s="186"/>
      <c r="H644" s="186"/>
      <c r="I644" s="186"/>
      <c r="J644" s="186"/>
      <c r="K644" s="186"/>
      <c r="L644" s="370"/>
      <c r="M644" s="370"/>
      <c r="N644" s="370"/>
      <c r="O644" s="370"/>
      <c r="P644" s="370"/>
      <c r="Q644" s="186"/>
      <c r="R644" s="186"/>
      <c r="S644" s="186"/>
      <c r="T644" s="186"/>
      <c r="U644" s="186"/>
      <c r="V644" s="186"/>
      <c r="W644" s="186"/>
      <c r="X644" s="186"/>
      <c r="Y644" s="186"/>
      <c r="Z644" s="305"/>
      <c r="AA644" s="60"/>
      <c r="AB644" s="60"/>
      <c r="AC644" s="60"/>
      <c r="AD644" s="60"/>
      <c r="AE644" s="60"/>
      <c r="AF644" s="60"/>
      <c r="AG644" s="60"/>
      <c r="AH644" s="60"/>
      <c r="AI644" s="60"/>
      <c r="AJ644" s="60"/>
    </row>
    <row r="645" spans="1:36" s="59" customFormat="1" ht="35.25">
      <c r="A645" s="193"/>
      <c r="B645" s="203"/>
      <c r="C645" s="186"/>
      <c r="D645" s="186"/>
      <c r="E645" s="186"/>
      <c r="F645" s="186"/>
      <c r="G645" s="186"/>
      <c r="H645" s="186"/>
      <c r="I645" s="186"/>
      <c r="J645" s="186"/>
      <c r="K645" s="186"/>
      <c r="L645" s="370"/>
      <c r="M645" s="370"/>
      <c r="N645" s="370"/>
      <c r="O645" s="370"/>
      <c r="P645" s="370"/>
      <c r="Q645" s="186"/>
      <c r="R645" s="186"/>
      <c r="S645" s="186"/>
      <c r="T645" s="186"/>
      <c r="U645" s="186"/>
      <c r="V645" s="186"/>
      <c r="W645" s="186"/>
      <c r="X645" s="186"/>
      <c r="Y645" s="186"/>
      <c r="Z645" s="305"/>
      <c r="AA645" s="60"/>
      <c r="AB645" s="60"/>
      <c r="AC645" s="60"/>
      <c r="AD645" s="60"/>
      <c r="AE645" s="60"/>
      <c r="AF645" s="60"/>
      <c r="AG645" s="60"/>
      <c r="AH645" s="60"/>
      <c r="AI645" s="60"/>
      <c r="AJ645" s="60"/>
    </row>
    <row r="646" spans="1:36" s="59" customFormat="1" ht="35.25">
      <c r="A646" s="193"/>
      <c r="B646" s="203"/>
      <c r="C646" s="186"/>
      <c r="D646" s="186"/>
      <c r="E646" s="186"/>
      <c r="F646" s="186"/>
      <c r="G646" s="186"/>
      <c r="H646" s="186"/>
      <c r="I646" s="186"/>
      <c r="J646" s="186"/>
      <c r="K646" s="186"/>
      <c r="L646" s="370"/>
      <c r="M646" s="370"/>
      <c r="N646" s="370"/>
      <c r="O646" s="370"/>
      <c r="P646" s="370"/>
      <c r="Q646" s="186"/>
      <c r="R646" s="186"/>
      <c r="S646" s="186"/>
      <c r="T646" s="186"/>
      <c r="U646" s="186"/>
      <c r="V646" s="186"/>
      <c r="W646" s="186"/>
      <c r="X646" s="186"/>
      <c r="Y646" s="186"/>
      <c r="Z646" s="305"/>
      <c r="AA646" s="60"/>
      <c r="AB646" s="60"/>
      <c r="AC646" s="60"/>
      <c r="AD646" s="60"/>
      <c r="AE646" s="60"/>
      <c r="AF646" s="60"/>
      <c r="AG646" s="60"/>
      <c r="AH646" s="60"/>
      <c r="AI646" s="60"/>
      <c r="AJ646" s="60"/>
    </row>
    <row r="647" spans="1:36" s="59" customFormat="1" ht="35.25">
      <c r="A647" s="193"/>
      <c r="B647" s="203"/>
      <c r="C647" s="186"/>
      <c r="D647" s="186"/>
      <c r="E647" s="186"/>
      <c r="F647" s="186"/>
      <c r="G647" s="186"/>
      <c r="H647" s="186"/>
      <c r="I647" s="186"/>
      <c r="J647" s="186"/>
      <c r="K647" s="186"/>
      <c r="L647" s="370"/>
      <c r="M647" s="370"/>
      <c r="N647" s="370"/>
      <c r="O647" s="370"/>
      <c r="P647" s="370"/>
      <c r="Q647" s="186"/>
      <c r="R647" s="186"/>
      <c r="S647" s="186"/>
      <c r="T647" s="186"/>
      <c r="U647" s="186"/>
      <c r="V647" s="186"/>
      <c r="W647" s="186"/>
      <c r="X647" s="186"/>
      <c r="Y647" s="186"/>
      <c r="Z647" s="305"/>
      <c r="AA647" s="60"/>
      <c r="AB647" s="60"/>
      <c r="AC647" s="60"/>
      <c r="AD647" s="60"/>
      <c r="AE647" s="60"/>
      <c r="AF647" s="60"/>
      <c r="AG647" s="60"/>
      <c r="AH647" s="60"/>
      <c r="AI647" s="60"/>
      <c r="AJ647" s="60"/>
    </row>
    <row r="648" spans="1:36" s="59" customFormat="1" ht="35.25">
      <c r="A648" s="193"/>
      <c r="B648" s="203"/>
      <c r="C648" s="186"/>
      <c r="D648" s="186"/>
      <c r="E648" s="186"/>
      <c r="F648" s="186"/>
      <c r="G648" s="186"/>
      <c r="H648" s="186"/>
      <c r="I648" s="186"/>
      <c r="J648" s="186"/>
      <c r="K648" s="186"/>
      <c r="L648" s="370"/>
      <c r="M648" s="370"/>
      <c r="N648" s="370"/>
      <c r="O648" s="370"/>
      <c r="P648" s="370"/>
      <c r="Q648" s="186"/>
      <c r="R648" s="186"/>
      <c r="S648" s="186"/>
      <c r="T648" s="186"/>
      <c r="U648" s="186"/>
      <c r="V648" s="186"/>
      <c r="W648" s="186"/>
      <c r="X648" s="186"/>
      <c r="Y648" s="186"/>
      <c r="Z648" s="305"/>
      <c r="AA648" s="60"/>
      <c r="AB648" s="60"/>
      <c r="AC648" s="60"/>
      <c r="AD648" s="60"/>
      <c r="AE648" s="60"/>
      <c r="AF648" s="60"/>
      <c r="AG648" s="60"/>
      <c r="AH648" s="60"/>
      <c r="AI648" s="60"/>
      <c r="AJ648" s="60"/>
    </row>
    <row r="649" spans="1:36" s="59" customFormat="1" ht="35.25">
      <c r="A649" s="193"/>
      <c r="B649" s="203"/>
      <c r="C649" s="186"/>
      <c r="D649" s="186"/>
      <c r="E649" s="186"/>
      <c r="F649" s="186"/>
      <c r="G649" s="186"/>
      <c r="H649" s="186"/>
      <c r="I649" s="186"/>
      <c r="J649" s="186"/>
      <c r="K649" s="186"/>
      <c r="L649" s="370"/>
      <c r="M649" s="370"/>
      <c r="N649" s="370"/>
      <c r="O649" s="370"/>
      <c r="P649" s="370"/>
      <c r="Q649" s="186"/>
      <c r="R649" s="186"/>
      <c r="S649" s="186"/>
      <c r="T649" s="186"/>
      <c r="U649" s="186"/>
      <c r="V649" s="186"/>
      <c r="W649" s="186"/>
      <c r="X649" s="186"/>
      <c r="Y649" s="186"/>
      <c r="Z649" s="305"/>
      <c r="AA649" s="60"/>
      <c r="AB649" s="60"/>
      <c r="AC649" s="60"/>
      <c r="AD649" s="60"/>
      <c r="AE649" s="60"/>
      <c r="AF649" s="60"/>
      <c r="AG649" s="60"/>
      <c r="AH649" s="60"/>
      <c r="AI649" s="60"/>
      <c r="AJ649" s="60"/>
    </row>
    <row r="650" spans="1:36" s="59" customFormat="1" ht="35.25">
      <c r="A650" s="193"/>
      <c r="B650" s="203"/>
      <c r="C650" s="186"/>
      <c r="D650" s="186"/>
      <c r="E650" s="186"/>
      <c r="F650" s="186"/>
      <c r="G650" s="186"/>
      <c r="H650" s="186"/>
      <c r="I650" s="186"/>
      <c r="J650" s="186"/>
      <c r="K650" s="186"/>
      <c r="L650" s="370"/>
      <c r="M650" s="370"/>
      <c r="N650" s="370"/>
      <c r="O650" s="370"/>
      <c r="P650" s="370"/>
      <c r="Q650" s="186"/>
      <c r="R650" s="186"/>
      <c r="S650" s="186"/>
      <c r="T650" s="186"/>
      <c r="U650" s="186"/>
      <c r="V650" s="186"/>
      <c r="W650" s="186"/>
      <c r="X650" s="186"/>
      <c r="Y650" s="186"/>
      <c r="Z650" s="305"/>
      <c r="AA650" s="60"/>
      <c r="AB650" s="60"/>
      <c r="AC650" s="60"/>
      <c r="AD650" s="60"/>
      <c r="AE650" s="60"/>
      <c r="AF650" s="60"/>
      <c r="AG650" s="60"/>
      <c r="AH650" s="60"/>
      <c r="AI650" s="60"/>
      <c r="AJ650" s="60"/>
    </row>
    <row r="651" spans="1:36" s="59" customFormat="1" ht="35.25">
      <c r="A651" s="193"/>
      <c r="B651" s="203"/>
      <c r="C651" s="186"/>
      <c r="D651" s="186"/>
      <c r="E651" s="186"/>
      <c r="F651" s="186"/>
      <c r="G651" s="186"/>
      <c r="H651" s="186"/>
      <c r="I651" s="186"/>
      <c r="J651" s="186"/>
      <c r="K651" s="186"/>
      <c r="L651" s="370"/>
      <c r="M651" s="370"/>
      <c r="N651" s="370"/>
      <c r="O651" s="370"/>
      <c r="P651" s="370"/>
      <c r="Q651" s="186"/>
      <c r="R651" s="186"/>
      <c r="S651" s="186"/>
      <c r="T651" s="186"/>
      <c r="U651" s="186"/>
      <c r="V651" s="186"/>
      <c r="W651" s="186"/>
      <c r="X651" s="186"/>
      <c r="Y651" s="186"/>
      <c r="Z651" s="305"/>
      <c r="AA651" s="60"/>
      <c r="AB651" s="60"/>
      <c r="AC651" s="60"/>
      <c r="AD651" s="60"/>
      <c r="AE651" s="60"/>
      <c r="AF651" s="60"/>
      <c r="AG651" s="60"/>
      <c r="AH651" s="60"/>
      <c r="AI651" s="60"/>
      <c r="AJ651" s="60"/>
    </row>
    <row r="652" spans="1:36" s="59" customFormat="1" ht="35.25">
      <c r="A652" s="193"/>
      <c r="B652" s="203"/>
      <c r="C652" s="186"/>
      <c r="D652" s="186"/>
      <c r="E652" s="186"/>
      <c r="F652" s="186"/>
      <c r="G652" s="186"/>
      <c r="H652" s="186"/>
      <c r="I652" s="186"/>
      <c r="J652" s="186"/>
      <c r="K652" s="186"/>
      <c r="L652" s="370"/>
      <c r="M652" s="370"/>
      <c r="N652" s="370"/>
      <c r="O652" s="370"/>
      <c r="P652" s="370"/>
      <c r="Q652" s="186"/>
      <c r="R652" s="186"/>
      <c r="S652" s="186"/>
      <c r="T652" s="186"/>
      <c r="U652" s="186"/>
      <c r="V652" s="186"/>
      <c r="W652" s="186"/>
      <c r="X652" s="186"/>
      <c r="Y652" s="186"/>
      <c r="Z652" s="305"/>
      <c r="AA652" s="60"/>
      <c r="AB652" s="60"/>
      <c r="AC652" s="60"/>
      <c r="AD652" s="60"/>
      <c r="AE652" s="60"/>
      <c r="AF652" s="60"/>
      <c r="AG652" s="60"/>
      <c r="AH652" s="60"/>
      <c r="AI652" s="60"/>
      <c r="AJ652" s="60"/>
    </row>
    <row r="653" spans="1:36" s="59" customFormat="1" ht="35.25">
      <c r="A653" s="193"/>
      <c r="B653" s="203"/>
      <c r="C653" s="186"/>
      <c r="D653" s="186"/>
      <c r="E653" s="186"/>
      <c r="F653" s="186"/>
      <c r="G653" s="186"/>
      <c r="H653" s="186"/>
      <c r="I653" s="186"/>
      <c r="J653" s="186"/>
      <c r="K653" s="186"/>
      <c r="L653" s="370"/>
      <c r="M653" s="370"/>
      <c r="N653" s="370"/>
      <c r="O653" s="370"/>
      <c r="P653" s="370"/>
      <c r="Q653" s="186"/>
      <c r="R653" s="186"/>
      <c r="S653" s="186"/>
      <c r="T653" s="186"/>
      <c r="U653" s="186"/>
      <c r="V653" s="186"/>
      <c r="W653" s="186"/>
      <c r="X653" s="186"/>
      <c r="Y653" s="186"/>
      <c r="Z653" s="305"/>
      <c r="AA653" s="60"/>
      <c r="AB653" s="60"/>
      <c r="AC653" s="60"/>
      <c r="AD653" s="60"/>
      <c r="AE653" s="60"/>
      <c r="AF653" s="60"/>
      <c r="AG653" s="60"/>
      <c r="AH653" s="60"/>
      <c r="AI653" s="60"/>
      <c r="AJ653" s="60"/>
    </row>
    <row r="654" spans="1:36" s="59" customFormat="1" ht="35.25">
      <c r="A654" s="193"/>
      <c r="B654" s="203"/>
      <c r="C654" s="186"/>
      <c r="D654" s="186"/>
      <c r="E654" s="186"/>
      <c r="F654" s="186"/>
      <c r="G654" s="186"/>
      <c r="H654" s="186"/>
      <c r="I654" s="186"/>
      <c r="J654" s="186"/>
      <c r="K654" s="186"/>
      <c r="L654" s="370"/>
      <c r="M654" s="370"/>
      <c r="N654" s="370"/>
      <c r="O654" s="370"/>
      <c r="P654" s="370"/>
      <c r="Q654" s="186"/>
      <c r="R654" s="186"/>
      <c r="S654" s="186"/>
      <c r="T654" s="186"/>
      <c r="U654" s="186"/>
      <c r="V654" s="186"/>
      <c r="W654" s="186"/>
      <c r="X654" s="186"/>
      <c r="Y654" s="186"/>
      <c r="Z654" s="305"/>
      <c r="AA654" s="60"/>
      <c r="AB654" s="60"/>
      <c r="AC654" s="60"/>
      <c r="AD654" s="60"/>
      <c r="AE654" s="60"/>
      <c r="AF654" s="60"/>
      <c r="AG654" s="60"/>
      <c r="AH654" s="60"/>
      <c r="AI654" s="60"/>
      <c r="AJ654" s="60"/>
    </row>
    <row r="655" spans="1:36" s="59" customFormat="1" ht="35.25">
      <c r="A655" s="193"/>
      <c r="B655" s="203"/>
      <c r="C655" s="186"/>
      <c r="D655" s="186"/>
      <c r="E655" s="186"/>
      <c r="F655" s="186"/>
      <c r="G655" s="186"/>
      <c r="H655" s="186"/>
      <c r="I655" s="186"/>
      <c r="J655" s="186"/>
      <c r="K655" s="186"/>
      <c r="L655" s="370"/>
      <c r="M655" s="370"/>
      <c r="N655" s="370"/>
      <c r="O655" s="370"/>
      <c r="P655" s="370"/>
      <c r="Q655" s="186"/>
      <c r="R655" s="186"/>
      <c r="S655" s="186"/>
      <c r="T655" s="186"/>
      <c r="U655" s="186"/>
      <c r="V655" s="186"/>
      <c r="W655" s="186"/>
      <c r="X655" s="186"/>
      <c r="Y655" s="186"/>
      <c r="Z655" s="305"/>
      <c r="AA655" s="60"/>
      <c r="AB655" s="60"/>
      <c r="AC655" s="60"/>
      <c r="AD655" s="60"/>
      <c r="AE655" s="60"/>
      <c r="AF655" s="60"/>
      <c r="AG655" s="60"/>
      <c r="AH655" s="60"/>
      <c r="AI655" s="60"/>
      <c r="AJ655" s="60"/>
    </row>
    <row r="656" spans="1:36" s="59" customFormat="1" ht="35.25">
      <c r="A656" s="193"/>
      <c r="B656" s="203"/>
      <c r="C656" s="186"/>
      <c r="D656" s="186"/>
      <c r="E656" s="186"/>
      <c r="F656" s="186"/>
      <c r="G656" s="186"/>
      <c r="H656" s="186"/>
      <c r="I656" s="186"/>
      <c r="J656" s="186"/>
      <c r="K656" s="186"/>
      <c r="L656" s="370"/>
      <c r="M656" s="370"/>
      <c r="N656" s="370"/>
      <c r="O656" s="370"/>
      <c r="P656" s="370"/>
      <c r="Q656" s="186"/>
      <c r="R656" s="186"/>
      <c r="S656" s="186"/>
      <c r="T656" s="186"/>
      <c r="U656" s="186"/>
      <c r="V656" s="186"/>
      <c r="W656" s="186"/>
      <c r="X656" s="186"/>
      <c r="Y656" s="186"/>
      <c r="Z656" s="305"/>
      <c r="AA656" s="60"/>
      <c r="AB656" s="60"/>
      <c r="AC656" s="60"/>
      <c r="AD656" s="60"/>
      <c r="AE656" s="60"/>
      <c r="AF656" s="60"/>
      <c r="AG656" s="60"/>
      <c r="AH656" s="60"/>
      <c r="AI656" s="60"/>
      <c r="AJ656" s="60"/>
    </row>
    <row r="657" spans="1:36" s="59" customFormat="1" ht="35.25">
      <c r="A657" s="193"/>
      <c r="B657" s="203"/>
      <c r="C657" s="186"/>
      <c r="D657" s="186"/>
      <c r="E657" s="186"/>
      <c r="F657" s="186"/>
      <c r="G657" s="186"/>
      <c r="H657" s="186"/>
      <c r="I657" s="186"/>
      <c r="J657" s="186"/>
      <c r="K657" s="186"/>
      <c r="L657" s="370"/>
      <c r="M657" s="370"/>
      <c r="N657" s="370"/>
      <c r="O657" s="370"/>
      <c r="P657" s="370"/>
      <c r="Q657" s="186"/>
      <c r="R657" s="186"/>
      <c r="S657" s="186"/>
      <c r="T657" s="186"/>
      <c r="U657" s="186"/>
      <c r="V657" s="186"/>
      <c r="W657" s="186"/>
      <c r="X657" s="186"/>
      <c r="Y657" s="186"/>
      <c r="Z657" s="305"/>
      <c r="AA657" s="60"/>
      <c r="AB657" s="60"/>
      <c r="AC657" s="60"/>
      <c r="AD657" s="60"/>
      <c r="AE657" s="60"/>
      <c r="AF657" s="60"/>
      <c r="AG657" s="60"/>
      <c r="AH657" s="60"/>
      <c r="AI657" s="60"/>
      <c r="AJ657" s="60"/>
    </row>
    <row r="658" spans="1:36" s="59" customFormat="1" ht="35.25">
      <c r="A658" s="193"/>
      <c r="B658" s="203"/>
      <c r="C658" s="186"/>
      <c r="D658" s="186"/>
      <c r="E658" s="186"/>
      <c r="F658" s="186"/>
      <c r="G658" s="186"/>
      <c r="H658" s="186"/>
      <c r="I658" s="186"/>
      <c r="J658" s="186"/>
      <c r="K658" s="186"/>
      <c r="L658" s="370"/>
      <c r="M658" s="370"/>
      <c r="N658" s="370"/>
      <c r="O658" s="370"/>
      <c r="P658" s="370"/>
      <c r="Q658" s="186"/>
      <c r="R658" s="186"/>
      <c r="S658" s="186"/>
      <c r="T658" s="186"/>
      <c r="U658" s="186"/>
      <c r="V658" s="186"/>
      <c r="W658" s="186"/>
      <c r="X658" s="186"/>
      <c r="Y658" s="186"/>
      <c r="Z658" s="305"/>
      <c r="AA658" s="60"/>
      <c r="AB658" s="60"/>
      <c r="AC658" s="60"/>
      <c r="AD658" s="60"/>
      <c r="AE658" s="60"/>
      <c r="AF658" s="60"/>
      <c r="AG658" s="60"/>
      <c r="AH658" s="60"/>
      <c r="AI658" s="60"/>
      <c r="AJ658" s="60"/>
    </row>
    <row r="659" spans="1:36" s="59" customFormat="1" ht="35.25">
      <c r="A659" s="193"/>
      <c r="B659" s="203"/>
      <c r="C659" s="186"/>
      <c r="D659" s="186"/>
      <c r="E659" s="186"/>
      <c r="F659" s="186"/>
      <c r="G659" s="186"/>
      <c r="H659" s="186"/>
      <c r="I659" s="186"/>
      <c r="J659" s="186"/>
      <c r="K659" s="186"/>
      <c r="L659" s="370"/>
      <c r="M659" s="370"/>
      <c r="N659" s="370"/>
      <c r="O659" s="370"/>
      <c r="P659" s="370"/>
      <c r="Q659" s="186"/>
      <c r="R659" s="186"/>
      <c r="S659" s="186"/>
      <c r="T659" s="186"/>
      <c r="U659" s="186"/>
      <c r="V659" s="186"/>
      <c r="W659" s="186"/>
      <c r="X659" s="186"/>
      <c r="Y659" s="186"/>
      <c r="Z659" s="305"/>
      <c r="AA659" s="60"/>
      <c r="AB659" s="60"/>
      <c r="AC659" s="60"/>
      <c r="AD659" s="60"/>
      <c r="AE659" s="60"/>
      <c r="AF659" s="60"/>
      <c r="AG659" s="60"/>
      <c r="AH659" s="60"/>
      <c r="AI659" s="60"/>
      <c r="AJ659" s="60"/>
    </row>
    <row r="660" spans="1:36" s="59" customFormat="1" ht="35.25">
      <c r="A660" s="193"/>
      <c r="B660" s="203"/>
      <c r="C660" s="186"/>
      <c r="D660" s="186"/>
      <c r="E660" s="186"/>
      <c r="F660" s="186"/>
      <c r="G660" s="186"/>
      <c r="H660" s="186"/>
      <c r="I660" s="186"/>
      <c r="J660" s="186"/>
      <c r="K660" s="186"/>
      <c r="L660" s="370"/>
      <c r="M660" s="370"/>
      <c r="N660" s="370"/>
      <c r="O660" s="370"/>
      <c r="P660" s="370"/>
      <c r="Q660" s="186"/>
      <c r="R660" s="186"/>
      <c r="S660" s="186"/>
      <c r="T660" s="186"/>
      <c r="U660" s="186"/>
      <c r="V660" s="186"/>
      <c r="W660" s="186"/>
      <c r="X660" s="186"/>
      <c r="Y660" s="186"/>
      <c r="Z660" s="305"/>
      <c r="AA660" s="60"/>
      <c r="AB660" s="60"/>
      <c r="AC660" s="60"/>
      <c r="AD660" s="60"/>
      <c r="AE660" s="60"/>
      <c r="AF660" s="60"/>
      <c r="AG660" s="60"/>
      <c r="AH660" s="60"/>
      <c r="AI660" s="60"/>
      <c r="AJ660" s="60"/>
    </row>
    <row r="661" spans="1:36" s="59" customFormat="1" ht="35.25">
      <c r="A661" s="193"/>
      <c r="B661" s="203"/>
      <c r="C661" s="186"/>
      <c r="D661" s="186"/>
      <c r="E661" s="186"/>
      <c r="F661" s="186"/>
      <c r="G661" s="186"/>
      <c r="H661" s="186"/>
      <c r="I661" s="186"/>
      <c r="J661" s="186"/>
      <c r="K661" s="186"/>
      <c r="L661" s="370"/>
      <c r="M661" s="370"/>
      <c r="N661" s="370"/>
      <c r="O661" s="370"/>
      <c r="P661" s="370"/>
      <c r="Q661" s="186"/>
      <c r="R661" s="186"/>
      <c r="S661" s="186"/>
      <c r="T661" s="186"/>
      <c r="U661" s="186"/>
      <c r="V661" s="186"/>
      <c r="W661" s="186"/>
      <c r="X661" s="186"/>
      <c r="Y661" s="186"/>
      <c r="Z661" s="305"/>
      <c r="AA661" s="60"/>
      <c r="AB661" s="60"/>
      <c r="AC661" s="60"/>
      <c r="AD661" s="60"/>
      <c r="AE661" s="60"/>
      <c r="AF661" s="60"/>
      <c r="AG661" s="60"/>
      <c r="AH661" s="60"/>
      <c r="AI661" s="60"/>
      <c r="AJ661" s="60"/>
    </row>
    <row r="662" spans="1:36" s="59" customFormat="1" ht="35.25">
      <c r="A662" s="193"/>
      <c r="B662" s="203"/>
      <c r="C662" s="186"/>
      <c r="D662" s="186"/>
      <c r="E662" s="186"/>
      <c r="F662" s="186"/>
      <c r="G662" s="186"/>
      <c r="H662" s="186"/>
      <c r="I662" s="186"/>
      <c r="J662" s="186"/>
      <c r="K662" s="186"/>
      <c r="L662" s="370"/>
      <c r="M662" s="370"/>
      <c r="N662" s="370"/>
      <c r="O662" s="370"/>
      <c r="P662" s="370"/>
      <c r="Q662" s="186"/>
      <c r="R662" s="186"/>
      <c r="S662" s="186"/>
      <c r="T662" s="186"/>
      <c r="U662" s="186"/>
      <c r="V662" s="186"/>
      <c r="W662" s="186"/>
      <c r="X662" s="186"/>
      <c r="Y662" s="186"/>
      <c r="Z662" s="305"/>
      <c r="AA662" s="60"/>
      <c r="AB662" s="60"/>
      <c r="AC662" s="60"/>
      <c r="AD662" s="60"/>
      <c r="AE662" s="60"/>
      <c r="AF662" s="60"/>
      <c r="AG662" s="60"/>
      <c r="AH662" s="60"/>
      <c r="AI662" s="60"/>
      <c r="AJ662" s="60"/>
    </row>
    <row r="663" spans="1:36" s="59" customFormat="1" ht="35.25">
      <c r="A663" s="193"/>
      <c r="B663" s="203"/>
      <c r="C663" s="186"/>
      <c r="D663" s="186"/>
      <c r="E663" s="186"/>
      <c r="F663" s="186"/>
      <c r="G663" s="186"/>
      <c r="H663" s="186"/>
      <c r="I663" s="186"/>
      <c r="J663" s="186"/>
      <c r="K663" s="186"/>
      <c r="L663" s="370"/>
      <c r="M663" s="370"/>
      <c r="N663" s="370"/>
      <c r="O663" s="370"/>
      <c r="P663" s="370"/>
      <c r="Q663" s="186"/>
      <c r="R663" s="186"/>
      <c r="S663" s="186"/>
      <c r="T663" s="186"/>
      <c r="U663" s="186"/>
      <c r="V663" s="186"/>
      <c r="W663" s="186"/>
      <c r="X663" s="186"/>
      <c r="Y663" s="186"/>
      <c r="Z663" s="305"/>
      <c r="AA663" s="60"/>
      <c r="AB663" s="60"/>
      <c r="AC663" s="60"/>
      <c r="AD663" s="60"/>
      <c r="AE663" s="60"/>
      <c r="AF663" s="60"/>
      <c r="AG663" s="60"/>
      <c r="AH663" s="60"/>
      <c r="AI663" s="60"/>
      <c r="AJ663" s="60"/>
    </row>
    <row r="664" spans="1:36" s="59" customFormat="1" ht="35.25">
      <c r="A664" s="193"/>
      <c r="B664" s="203"/>
      <c r="C664" s="186"/>
      <c r="D664" s="186"/>
      <c r="E664" s="186"/>
      <c r="F664" s="186"/>
      <c r="G664" s="186"/>
      <c r="H664" s="186"/>
      <c r="I664" s="186"/>
      <c r="J664" s="186"/>
      <c r="K664" s="186"/>
      <c r="L664" s="370"/>
      <c r="M664" s="370"/>
      <c r="N664" s="370"/>
      <c r="O664" s="370"/>
      <c r="P664" s="370"/>
      <c r="Q664" s="186"/>
      <c r="R664" s="186"/>
      <c r="S664" s="186"/>
      <c r="T664" s="186"/>
      <c r="U664" s="186"/>
      <c r="V664" s="186"/>
      <c r="W664" s="186"/>
      <c r="X664" s="186"/>
      <c r="Y664" s="186"/>
      <c r="Z664" s="305"/>
      <c r="AA664" s="60"/>
      <c r="AB664" s="60"/>
      <c r="AC664" s="60"/>
      <c r="AD664" s="60"/>
      <c r="AE664" s="60"/>
      <c r="AF664" s="60"/>
      <c r="AG664" s="60"/>
      <c r="AH664" s="60"/>
      <c r="AI664" s="60"/>
      <c r="AJ664" s="60"/>
    </row>
    <row r="665" spans="1:36" s="59" customFormat="1" ht="35.25">
      <c r="A665" s="193"/>
      <c r="B665" s="203"/>
      <c r="C665" s="186"/>
      <c r="D665" s="186"/>
      <c r="E665" s="186"/>
      <c r="F665" s="186"/>
      <c r="G665" s="186"/>
      <c r="H665" s="186"/>
      <c r="I665" s="186"/>
      <c r="J665" s="186"/>
      <c r="K665" s="186"/>
      <c r="L665" s="370"/>
      <c r="M665" s="370"/>
      <c r="N665" s="370"/>
      <c r="O665" s="370"/>
      <c r="P665" s="370"/>
      <c r="Q665" s="186"/>
      <c r="R665" s="186"/>
      <c r="S665" s="186"/>
      <c r="T665" s="186"/>
      <c r="U665" s="186"/>
      <c r="V665" s="186"/>
      <c r="W665" s="186"/>
      <c r="X665" s="186"/>
      <c r="Y665" s="186"/>
      <c r="Z665" s="305"/>
      <c r="AA665" s="60"/>
      <c r="AB665" s="60"/>
      <c r="AC665" s="60"/>
      <c r="AD665" s="60"/>
      <c r="AE665" s="60"/>
      <c r="AF665" s="60"/>
      <c r="AG665" s="60"/>
      <c r="AH665" s="60"/>
      <c r="AI665" s="60"/>
      <c r="AJ665" s="60"/>
    </row>
    <row r="666" spans="1:36" s="59" customFormat="1" ht="35.25">
      <c r="A666" s="193"/>
      <c r="B666" s="203"/>
      <c r="C666" s="186"/>
      <c r="D666" s="186"/>
      <c r="E666" s="186"/>
      <c r="F666" s="186"/>
      <c r="G666" s="186"/>
      <c r="H666" s="186"/>
      <c r="I666" s="186"/>
      <c r="J666" s="186"/>
      <c r="K666" s="186"/>
      <c r="L666" s="370"/>
      <c r="M666" s="370"/>
      <c r="N666" s="370"/>
      <c r="O666" s="370"/>
      <c r="P666" s="370"/>
      <c r="Q666" s="186"/>
      <c r="R666" s="186"/>
      <c r="S666" s="186"/>
      <c r="T666" s="186"/>
      <c r="U666" s="186"/>
      <c r="V666" s="186"/>
      <c r="W666" s="186"/>
      <c r="X666" s="186"/>
      <c r="Y666" s="186"/>
      <c r="Z666" s="305"/>
      <c r="AA666" s="60"/>
      <c r="AB666" s="60"/>
      <c r="AC666" s="60"/>
      <c r="AD666" s="60"/>
      <c r="AE666" s="60"/>
      <c r="AF666" s="60"/>
      <c r="AG666" s="60"/>
      <c r="AH666" s="60"/>
      <c r="AI666" s="60"/>
      <c r="AJ666" s="60"/>
    </row>
    <row r="667" spans="1:36" s="59" customFormat="1" ht="35.25">
      <c r="A667" s="193"/>
      <c r="B667" s="203"/>
      <c r="C667" s="186"/>
      <c r="D667" s="186"/>
      <c r="E667" s="186"/>
      <c r="F667" s="186"/>
      <c r="G667" s="186"/>
      <c r="H667" s="186"/>
      <c r="I667" s="186"/>
      <c r="J667" s="186"/>
      <c r="K667" s="186"/>
      <c r="L667" s="370"/>
      <c r="M667" s="370"/>
      <c r="N667" s="370"/>
      <c r="O667" s="370"/>
      <c r="P667" s="370"/>
      <c r="Q667" s="186"/>
      <c r="R667" s="186"/>
      <c r="S667" s="186"/>
      <c r="T667" s="186"/>
      <c r="U667" s="186"/>
      <c r="V667" s="186"/>
      <c r="W667" s="186"/>
      <c r="X667" s="186"/>
      <c r="Y667" s="186"/>
      <c r="Z667" s="305"/>
      <c r="AA667" s="60"/>
      <c r="AB667" s="60"/>
      <c r="AC667" s="60"/>
      <c r="AD667" s="60"/>
      <c r="AE667" s="60"/>
      <c r="AF667" s="60"/>
      <c r="AG667" s="60"/>
      <c r="AH667" s="60"/>
      <c r="AI667" s="60"/>
      <c r="AJ667" s="60"/>
    </row>
    <row r="668" spans="1:36" s="59" customFormat="1" ht="35.25">
      <c r="A668" s="193"/>
      <c r="B668" s="203"/>
      <c r="C668" s="186"/>
      <c r="D668" s="186"/>
      <c r="E668" s="186"/>
      <c r="F668" s="186"/>
      <c r="G668" s="186"/>
      <c r="H668" s="186"/>
      <c r="I668" s="186"/>
      <c r="J668" s="186"/>
      <c r="K668" s="186"/>
      <c r="L668" s="370"/>
      <c r="M668" s="370"/>
      <c r="N668" s="370"/>
      <c r="O668" s="370"/>
      <c r="P668" s="370"/>
      <c r="Q668" s="186"/>
      <c r="R668" s="186"/>
      <c r="S668" s="186"/>
      <c r="T668" s="186"/>
      <c r="U668" s="186"/>
      <c r="V668" s="186"/>
      <c r="W668" s="186"/>
      <c r="X668" s="186"/>
      <c r="Y668" s="186"/>
      <c r="Z668" s="305"/>
      <c r="AA668" s="60"/>
      <c r="AB668" s="60"/>
      <c r="AC668" s="60"/>
      <c r="AD668" s="60"/>
      <c r="AE668" s="60"/>
      <c r="AF668" s="60"/>
      <c r="AG668" s="60"/>
      <c r="AH668" s="60"/>
      <c r="AI668" s="60"/>
      <c r="AJ668" s="60"/>
    </row>
    <row r="669" spans="1:36" s="59" customFormat="1" ht="35.25">
      <c r="A669" s="193"/>
      <c r="B669" s="203"/>
      <c r="C669" s="186"/>
      <c r="D669" s="186"/>
      <c r="E669" s="186"/>
      <c r="F669" s="186"/>
      <c r="G669" s="186"/>
      <c r="H669" s="186"/>
      <c r="I669" s="186"/>
      <c r="J669" s="186"/>
      <c r="K669" s="186"/>
      <c r="L669" s="370"/>
      <c r="M669" s="370"/>
      <c r="N669" s="370"/>
      <c r="O669" s="370"/>
      <c r="P669" s="370"/>
      <c r="Q669" s="186"/>
      <c r="R669" s="186"/>
      <c r="S669" s="186"/>
      <c r="T669" s="186"/>
      <c r="U669" s="186"/>
      <c r="V669" s="186"/>
      <c r="W669" s="186"/>
      <c r="X669" s="186"/>
      <c r="Y669" s="186"/>
      <c r="Z669" s="305"/>
      <c r="AA669" s="60"/>
      <c r="AB669" s="60"/>
      <c r="AC669" s="60"/>
      <c r="AD669" s="60"/>
      <c r="AE669" s="60"/>
      <c r="AF669" s="60"/>
      <c r="AG669" s="60"/>
      <c r="AH669" s="60"/>
      <c r="AI669" s="60"/>
      <c r="AJ669" s="60"/>
    </row>
    <row r="670" spans="1:36" s="59" customFormat="1" ht="35.25">
      <c r="A670" s="193"/>
      <c r="B670" s="203"/>
      <c r="C670" s="186"/>
      <c r="D670" s="186"/>
      <c r="E670" s="186"/>
      <c r="F670" s="186"/>
      <c r="G670" s="186"/>
      <c r="H670" s="186"/>
      <c r="I670" s="186"/>
      <c r="J670" s="186"/>
      <c r="K670" s="186"/>
      <c r="L670" s="370"/>
      <c r="M670" s="370"/>
      <c r="N670" s="370"/>
      <c r="O670" s="370"/>
      <c r="P670" s="370"/>
      <c r="Q670" s="186"/>
      <c r="R670" s="186"/>
      <c r="S670" s="186"/>
      <c r="T670" s="186"/>
      <c r="U670" s="186"/>
      <c r="V670" s="186"/>
      <c r="W670" s="186"/>
      <c r="X670" s="186"/>
      <c r="Y670" s="186"/>
      <c r="Z670" s="305"/>
      <c r="AA670" s="60"/>
      <c r="AB670" s="60"/>
      <c r="AC670" s="60"/>
      <c r="AD670" s="60"/>
      <c r="AE670" s="60"/>
      <c r="AF670" s="60"/>
      <c r="AG670" s="60"/>
      <c r="AH670" s="60"/>
      <c r="AI670" s="60"/>
      <c r="AJ670" s="60"/>
    </row>
    <row r="671" spans="1:36" s="59" customFormat="1" ht="35.25">
      <c r="A671" s="193"/>
      <c r="B671" s="203"/>
      <c r="C671" s="186"/>
      <c r="D671" s="186"/>
      <c r="E671" s="186"/>
      <c r="F671" s="186"/>
      <c r="G671" s="186"/>
      <c r="H671" s="186"/>
      <c r="I671" s="186"/>
      <c r="J671" s="186"/>
      <c r="K671" s="186"/>
      <c r="L671" s="370"/>
      <c r="M671" s="370"/>
      <c r="N671" s="370"/>
      <c r="O671" s="370"/>
      <c r="P671" s="370"/>
      <c r="Q671" s="186"/>
      <c r="R671" s="186"/>
      <c r="S671" s="186"/>
      <c r="T671" s="186"/>
      <c r="U671" s="186"/>
      <c r="V671" s="186"/>
      <c r="W671" s="186"/>
      <c r="X671" s="186"/>
      <c r="Y671" s="186"/>
      <c r="Z671" s="305"/>
      <c r="AA671" s="60"/>
      <c r="AB671" s="60"/>
      <c r="AC671" s="60"/>
      <c r="AD671" s="60"/>
      <c r="AE671" s="60"/>
      <c r="AF671" s="60"/>
      <c r="AG671" s="60"/>
      <c r="AH671" s="60"/>
      <c r="AI671" s="60"/>
      <c r="AJ671" s="60"/>
    </row>
    <row r="672" spans="1:36" s="59" customFormat="1" ht="35.25">
      <c r="A672" s="193"/>
      <c r="B672" s="203"/>
      <c r="C672" s="186"/>
      <c r="D672" s="186"/>
      <c r="E672" s="186"/>
      <c r="F672" s="186"/>
      <c r="G672" s="186"/>
      <c r="H672" s="186"/>
      <c r="I672" s="186"/>
      <c r="J672" s="186"/>
      <c r="K672" s="186"/>
      <c r="L672" s="370"/>
      <c r="M672" s="370"/>
      <c r="N672" s="370"/>
      <c r="O672" s="370"/>
      <c r="P672" s="370"/>
      <c r="Q672" s="186"/>
      <c r="R672" s="186"/>
      <c r="S672" s="186"/>
      <c r="T672" s="186"/>
      <c r="U672" s="186"/>
      <c r="V672" s="186"/>
      <c r="W672" s="186"/>
      <c r="X672" s="186"/>
      <c r="Y672" s="186"/>
      <c r="Z672" s="305"/>
      <c r="AA672" s="60"/>
      <c r="AB672" s="60"/>
      <c r="AC672" s="60"/>
      <c r="AD672" s="60"/>
      <c r="AE672" s="60"/>
      <c r="AF672" s="60"/>
      <c r="AG672" s="60"/>
      <c r="AH672" s="60"/>
      <c r="AI672" s="60"/>
      <c r="AJ672" s="60"/>
    </row>
    <row r="673" spans="1:36" s="59" customFormat="1" ht="35.25">
      <c r="A673" s="193"/>
      <c r="B673" s="203"/>
      <c r="C673" s="186"/>
      <c r="D673" s="186"/>
      <c r="E673" s="186"/>
      <c r="F673" s="186"/>
      <c r="G673" s="186"/>
      <c r="H673" s="186"/>
      <c r="I673" s="186"/>
      <c r="J673" s="186"/>
      <c r="K673" s="186"/>
      <c r="L673" s="370"/>
      <c r="M673" s="370"/>
      <c r="N673" s="370"/>
      <c r="O673" s="370"/>
      <c r="P673" s="370"/>
      <c r="Q673" s="186"/>
      <c r="R673" s="186"/>
      <c r="S673" s="186"/>
      <c r="T673" s="186"/>
      <c r="U673" s="186"/>
      <c r="V673" s="186"/>
      <c r="W673" s="186"/>
      <c r="X673" s="186"/>
      <c r="Y673" s="186"/>
      <c r="Z673" s="305"/>
      <c r="AA673" s="60"/>
      <c r="AB673" s="60"/>
      <c r="AC673" s="60"/>
      <c r="AD673" s="60"/>
      <c r="AE673" s="60"/>
      <c r="AF673" s="60"/>
      <c r="AG673" s="60"/>
      <c r="AH673" s="60"/>
      <c r="AI673" s="60"/>
      <c r="AJ673" s="60"/>
    </row>
    <row r="674" spans="1:36" s="59" customFormat="1" ht="35.25">
      <c r="A674" s="193"/>
      <c r="B674" s="203"/>
      <c r="C674" s="186"/>
      <c r="D674" s="186"/>
      <c r="E674" s="186"/>
      <c r="F674" s="186"/>
      <c r="G674" s="186"/>
      <c r="H674" s="186"/>
      <c r="I674" s="186"/>
      <c r="J674" s="186"/>
      <c r="K674" s="186"/>
      <c r="L674" s="370"/>
      <c r="M674" s="370"/>
      <c r="N674" s="370"/>
      <c r="O674" s="370"/>
      <c r="P674" s="370"/>
      <c r="Q674" s="186"/>
      <c r="R674" s="186"/>
      <c r="S674" s="186"/>
      <c r="T674" s="186"/>
      <c r="U674" s="186"/>
      <c r="V674" s="186"/>
      <c r="W674" s="186"/>
      <c r="X674" s="186"/>
      <c r="Y674" s="186"/>
      <c r="Z674" s="305"/>
      <c r="AA674" s="60"/>
      <c r="AB674" s="60"/>
      <c r="AC674" s="60"/>
      <c r="AD674" s="60"/>
      <c r="AE674" s="60"/>
      <c r="AF674" s="60"/>
      <c r="AG674" s="60"/>
      <c r="AH674" s="60"/>
      <c r="AI674" s="60"/>
      <c r="AJ674" s="60"/>
    </row>
    <row r="675" spans="1:36" s="59" customFormat="1" ht="35.25">
      <c r="A675" s="193"/>
      <c r="B675" s="203"/>
      <c r="C675" s="186"/>
      <c r="D675" s="186"/>
      <c r="E675" s="186"/>
      <c r="F675" s="186"/>
      <c r="G675" s="186"/>
      <c r="H675" s="186"/>
      <c r="I675" s="186"/>
      <c r="J675" s="186"/>
      <c r="K675" s="186"/>
      <c r="L675" s="370"/>
      <c r="M675" s="370"/>
      <c r="N675" s="370"/>
      <c r="O675" s="370"/>
      <c r="P675" s="370"/>
      <c r="Q675" s="186"/>
      <c r="R675" s="186"/>
      <c r="S675" s="186"/>
      <c r="T675" s="186"/>
      <c r="U675" s="186"/>
      <c r="V675" s="186"/>
      <c r="W675" s="186"/>
      <c r="X675" s="186"/>
      <c r="Y675" s="186"/>
      <c r="Z675" s="305"/>
      <c r="AA675" s="60"/>
      <c r="AB675" s="60"/>
      <c r="AC675" s="60"/>
      <c r="AD675" s="60"/>
      <c r="AE675" s="60"/>
      <c r="AF675" s="60"/>
      <c r="AG675" s="60"/>
      <c r="AH675" s="60"/>
      <c r="AI675" s="60"/>
      <c r="AJ675" s="60"/>
    </row>
    <row r="676" spans="1:36" s="59" customFormat="1" ht="35.25">
      <c r="A676" s="193"/>
      <c r="B676" s="203"/>
      <c r="C676" s="186"/>
      <c r="D676" s="186"/>
      <c r="E676" s="186"/>
      <c r="F676" s="186"/>
      <c r="G676" s="186"/>
      <c r="H676" s="186"/>
      <c r="I676" s="186"/>
      <c r="J676" s="186"/>
      <c r="K676" s="186"/>
      <c r="L676" s="370"/>
      <c r="M676" s="370"/>
      <c r="N676" s="370"/>
      <c r="O676" s="370"/>
      <c r="P676" s="370"/>
      <c r="Q676" s="186"/>
      <c r="R676" s="186"/>
      <c r="S676" s="186"/>
      <c r="T676" s="186"/>
      <c r="U676" s="186"/>
      <c r="V676" s="186"/>
      <c r="W676" s="186"/>
      <c r="X676" s="186"/>
      <c r="Y676" s="186"/>
      <c r="Z676" s="305"/>
      <c r="AA676" s="60"/>
      <c r="AB676" s="60"/>
      <c r="AC676" s="60"/>
      <c r="AD676" s="60"/>
      <c r="AE676" s="60"/>
      <c r="AF676" s="60"/>
      <c r="AG676" s="60"/>
      <c r="AH676" s="60"/>
      <c r="AI676" s="60"/>
      <c r="AJ676" s="60"/>
    </row>
    <row r="677" spans="1:36" s="59" customFormat="1" ht="35.25">
      <c r="A677" s="193"/>
      <c r="B677" s="203"/>
      <c r="C677" s="186"/>
      <c r="D677" s="186"/>
      <c r="E677" s="186"/>
      <c r="F677" s="186"/>
      <c r="G677" s="186"/>
      <c r="H677" s="186"/>
      <c r="I677" s="186"/>
      <c r="J677" s="186"/>
      <c r="K677" s="186"/>
      <c r="L677" s="370"/>
      <c r="M677" s="370"/>
      <c r="N677" s="370"/>
      <c r="O677" s="370"/>
      <c r="P677" s="370"/>
      <c r="Q677" s="186"/>
      <c r="R677" s="186"/>
      <c r="S677" s="186"/>
      <c r="T677" s="186"/>
      <c r="U677" s="186"/>
      <c r="V677" s="186"/>
      <c r="W677" s="186"/>
      <c r="X677" s="186"/>
      <c r="Y677" s="186"/>
      <c r="Z677" s="305"/>
      <c r="AA677" s="60"/>
      <c r="AB677" s="60"/>
      <c r="AC677" s="60"/>
      <c r="AD677" s="60"/>
      <c r="AE677" s="60"/>
      <c r="AF677" s="60"/>
      <c r="AG677" s="60"/>
      <c r="AH677" s="60"/>
      <c r="AI677" s="60"/>
      <c r="AJ677" s="60"/>
    </row>
    <row r="678" spans="1:36" s="59" customFormat="1" ht="35.25">
      <c r="A678" s="193"/>
      <c r="B678" s="203"/>
      <c r="C678" s="186"/>
      <c r="D678" s="186"/>
      <c r="E678" s="186"/>
      <c r="F678" s="186"/>
      <c r="G678" s="186"/>
      <c r="H678" s="186"/>
      <c r="I678" s="186"/>
      <c r="J678" s="186"/>
      <c r="K678" s="186"/>
      <c r="L678" s="370"/>
      <c r="M678" s="370"/>
      <c r="N678" s="370"/>
      <c r="O678" s="370"/>
      <c r="P678" s="370"/>
      <c r="Q678" s="186"/>
      <c r="R678" s="186"/>
      <c r="S678" s="186"/>
      <c r="T678" s="186"/>
      <c r="U678" s="186"/>
      <c r="V678" s="186"/>
      <c r="W678" s="186"/>
      <c r="X678" s="186"/>
      <c r="Y678" s="186"/>
      <c r="Z678" s="305"/>
      <c r="AA678" s="60"/>
      <c r="AB678" s="60"/>
      <c r="AC678" s="60"/>
      <c r="AD678" s="60"/>
      <c r="AE678" s="60"/>
      <c r="AF678" s="60"/>
      <c r="AG678" s="60"/>
      <c r="AH678" s="60"/>
      <c r="AI678" s="60"/>
      <c r="AJ678" s="60"/>
    </row>
    <row r="679" spans="1:36" s="59" customFormat="1" ht="35.25">
      <c r="A679" s="193"/>
      <c r="B679" s="203"/>
      <c r="C679" s="186"/>
      <c r="D679" s="186"/>
      <c r="E679" s="186"/>
      <c r="F679" s="186"/>
      <c r="G679" s="186"/>
      <c r="H679" s="186"/>
      <c r="I679" s="186"/>
      <c r="J679" s="186"/>
      <c r="K679" s="186"/>
      <c r="L679" s="370"/>
      <c r="M679" s="370"/>
      <c r="N679" s="370"/>
      <c r="O679" s="370"/>
      <c r="P679" s="370"/>
      <c r="Q679" s="186"/>
      <c r="R679" s="186"/>
      <c r="S679" s="186"/>
      <c r="T679" s="186"/>
      <c r="U679" s="186"/>
      <c r="V679" s="186"/>
      <c r="W679" s="186"/>
      <c r="X679" s="186"/>
      <c r="Y679" s="186"/>
      <c r="Z679" s="305"/>
      <c r="AA679" s="60"/>
      <c r="AB679" s="60"/>
      <c r="AC679" s="60"/>
      <c r="AD679" s="60"/>
      <c r="AE679" s="60"/>
      <c r="AF679" s="60"/>
      <c r="AG679" s="60"/>
      <c r="AH679" s="60"/>
      <c r="AI679" s="60"/>
      <c r="AJ679" s="60"/>
    </row>
    <row r="680" spans="1:36" s="59" customFormat="1" ht="35.25">
      <c r="A680" s="193"/>
      <c r="B680" s="203"/>
      <c r="C680" s="186"/>
      <c r="D680" s="186"/>
      <c r="E680" s="186"/>
      <c r="F680" s="186"/>
      <c r="G680" s="186"/>
      <c r="H680" s="186"/>
      <c r="I680" s="186"/>
      <c r="J680" s="186"/>
      <c r="K680" s="186"/>
      <c r="L680" s="370"/>
      <c r="M680" s="370"/>
      <c r="N680" s="370"/>
      <c r="O680" s="370"/>
      <c r="P680" s="370"/>
      <c r="Q680" s="186"/>
      <c r="R680" s="186"/>
      <c r="S680" s="186"/>
      <c r="T680" s="186"/>
      <c r="U680" s="186"/>
      <c r="V680" s="186"/>
      <c r="W680" s="186"/>
      <c r="X680" s="186"/>
      <c r="Y680" s="186"/>
      <c r="Z680" s="305"/>
      <c r="AA680" s="60"/>
      <c r="AB680" s="60"/>
      <c r="AC680" s="60"/>
      <c r="AD680" s="60"/>
      <c r="AE680" s="60"/>
      <c r="AF680" s="60"/>
      <c r="AG680" s="60"/>
      <c r="AH680" s="60"/>
      <c r="AI680" s="60"/>
      <c r="AJ680" s="60"/>
    </row>
    <row r="681" spans="1:36" s="59" customFormat="1" ht="35.25">
      <c r="A681" s="193"/>
      <c r="B681" s="203"/>
      <c r="C681" s="186"/>
      <c r="D681" s="186"/>
      <c r="E681" s="186"/>
      <c r="F681" s="186"/>
      <c r="G681" s="186"/>
      <c r="H681" s="186"/>
      <c r="I681" s="186"/>
      <c r="J681" s="186"/>
      <c r="K681" s="186"/>
      <c r="L681" s="370"/>
      <c r="M681" s="370"/>
      <c r="N681" s="370"/>
      <c r="O681" s="370"/>
      <c r="P681" s="370"/>
      <c r="Q681" s="186"/>
      <c r="R681" s="186"/>
      <c r="S681" s="186"/>
      <c r="T681" s="186"/>
      <c r="U681" s="186"/>
      <c r="V681" s="186"/>
      <c r="W681" s="186"/>
      <c r="X681" s="186"/>
      <c r="Y681" s="186"/>
      <c r="Z681" s="305"/>
      <c r="AA681" s="60"/>
      <c r="AB681" s="60"/>
      <c r="AC681" s="60"/>
      <c r="AD681" s="60"/>
      <c r="AE681" s="60"/>
      <c r="AF681" s="60"/>
      <c r="AG681" s="60"/>
      <c r="AH681" s="60"/>
      <c r="AI681" s="60"/>
      <c r="AJ681" s="60"/>
    </row>
    <row r="682" spans="1:36" s="59" customFormat="1" ht="35.25">
      <c r="A682" s="193"/>
      <c r="B682" s="203"/>
      <c r="C682" s="186"/>
      <c r="D682" s="186"/>
      <c r="E682" s="186"/>
      <c r="F682" s="186"/>
      <c r="G682" s="186"/>
      <c r="H682" s="186"/>
      <c r="I682" s="186"/>
      <c r="J682" s="186"/>
      <c r="K682" s="186"/>
      <c r="L682" s="370"/>
      <c r="M682" s="370"/>
      <c r="N682" s="370"/>
      <c r="O682" s="370"/>
      <c r="P682" s="370"/>
      <c r="Q682" s="186"/>
      <c r="R682" s="186"/>
      <c r="S682" s="186"/>
      <c r="T682" s="186"/>
      <c r="U682" s="186"/>
      <c r="V682" s="186"/>
      <c r="W682" s="186"/>
      <c r="X682" s="186"/>
      <c r="Y682" s="186"/>
      <c r="Z682" s="305"/>
      <c r="AA682" s="60"/>
      <c r="AB682" s="60"/>
      <c r="AC682" s="60"/>
      <c r="AD682" s="60"/>
      <c r="AE682" s="60"/>
      <c r="AF682" s="60"/>
      <c r="AG682" s="60"/>
      <c r="AH682" s="60"/>
      <c r="AI682" s="60"/>
      <c r="AJ682" s="60"/>
    </row>
    <row r="683" spans="1:36" s="59" customFormat="1" ht="35.25">
      <c r="A683" s="193"/>
      <c r="B683" s="203"/>
      <c r="C683" s="186"/>
      <c r="D683" s="186"/>
      <c r="E683" s="186"/>
      <c r="F683" s="186"/>
      <c r="G683" s="186"/>
      <c r="H683" s="186"/>
      <c r="I683" s="186"/>
      <c r="J683" s="186"/>
      <c r="K683" s="186"/>
      <c r="L683" s="370"/>
      <c r="M683" s="370"/>
      <c r="N683" s="370"/>
      <c r="O683" s="370"/>
      <c r="P683" s="370"/>
      <c r="Q683" s="186"/>
      <c r="R683" s="186"/>
      <c r="S683" s="186"/>
      <c r="T683" s="186"/>
      <c r="U683" s="186"/>
      <c r="V683" s="186"/>
      <c r="W683" s="186"/>
      <c r="X683" s="186"/>
      <c r="Y683" s="186"/>
      <c r="Z683" s="305"/>
      <c r="AA683" s="60"/>
      <c r="AB683" s="60"/>
      <c r="AC683" s="60"/>
      <c r="AD683" s="60"/>
      <c r="AE683" s="60"/>
      <c r="AF683" s="60"/>
      <c r="AG683" s="60"/>
      <c r="AH683" s="60"/>
      <c r="AI683" s="60"/>
      <c r="AJ683" s="60"/>
    </row>
    <row r="684" spans="1:36" s="59" customFormat="1" ht="35.25">
      <c r="A684" s="193"/>
      <c r="B684" s="203"/>
      <c r="C684" s="186"/>
      <c r="D684" s="186"/>
      <c r="E684" s="186"/>
      <c r="F684" s="186"/>
      <c r="G684" s="186"/>
      <c r="H684" s="186"/>
      <c r="I684" s="186"/>
      <c r="J684" s="186"/>
      <c r="K684" s="186"/>
      <c r="L684" s="370"/>
      <c r="M684" s="370"/>
      <c r="N684" s="370"/>
      <c r="O684" s="370"/>
      <c r="P684" s="370"/>
      <c r="Q684" s="186"/>
      <c r="R684" s="186"/>
      <c r="S684" s="186"/>
      <c r="T684" s="186"/>
      <c r="U684" s="186"/>
      <c r="V684" s="186"/>
      <c r="W684" s="186"/>
      <c r="X684" s="186"/>
      <c r="Y684" s="186"/>
      <c r="Z684" s="305"/>
      <c r="AA684" s="60"/>
      <c r="AB684" s="60"/>
      <c r="AC684" s="60"/>
      <c r="AD684" s="60"/>
      <c r="AE684" s="60"/>
      <c r="AF684" s="60"/>
      <c r="AG684" s="60"/>
      <c r="AH684" s="60"/>
      <c r="AI684" s="60"/>
      <c r="AJ684" s="60"/>
    </row>
    <row r="685" spans="1:36" s="59" customFormat="1" ht="35.25">
      <c r="A685" s="193"/>
      <c r="B685" s="203"/>
      <c r="C685" s="186"/>
      <c r="D685" s="186"/>
      <c r="E685" s="186"/>
      <c r="F685" s="186"/>
      <c r="G685" s="186"/>
      <c r="H685" s="186"/>
      <c r="I685" s="186"/>
      <c r="J685" s="186"/>
      <c r="K685" s="186"/>
      <c r="L685" s="370"/>
      <c r="M685" s="370"/>
      <c r="N685" s="370"/>
      <c r="O685" s="370"/>
      <c r="P685" s="370"/>
      <c r="Q685" s="186"/>
      <c r="R685" s="186"/>
      <c r="S685" s="186"/>
      <c r="T685" s="186"/>
      <c r="U685" s="186"/>
      <c r="V685" s="186"/>
      <c r="W685" s="186"/>
      <c r="X685" s="186"/>
      <c r="Y685" s="186"/>
      <c r="Z685" s="305"/>
      <c r="AA685" s="60"/>
      <c r="AB685" s="60"/>
      <c r="AC685" s="60"/>
      <c r="AD685" s="60"/>
      <c r="AE685" s="60"/>
      <c r="AF685" s="60"/>
      <c r="AG685" s="60"/>
      <c r="AH685" s="60"/>
      <c r="AI685" s="60"/>
      <c r="AJ685" s="60"/>
    </row>
    <row r="686" spans="1:36" s="59" customFormat="1" ht="35.25">
      <c r="A686" s="193"/>
      <c r="B686" s="203"/>
      <c r="C686" s="186"/>
      <c r="D686" s="186"/>
      <c r="E686" s="186"/>
      <c r="F686" s="186"/>
      <c r="G686" s="186"/>
      <c r="H686" s="186"/>
      <c r="I686" s="186"/>
      <c r="J686" s="186"/>
      <c r="K686" s="186"/>
      <c r="L686" s="370"/>
      <c r="M686" s="370"/>
      <c r="N686" s="370"/>
      <c r="O686" s="370"/>
      <c r="P686" s="370"/>
      <c r="Q686" s="186"/>
      <c r="R686" s="186"/>
      <c r="S686" s="186"/>
      <c r="T686" s="186"/>
      <c r="U686" s="186"/>
      <c r="V686" s="186"/>
      <c r="W686" s="186"/>
      <c r="X686" s="186"/>
      <c r="Y686" s="186"/>
      <c r="Z686" s="305"/>
      <c r="AA686" s="60"/>
      <c r="AB686" s="60"/>
      <c r="AC686" s="60"/>
      <c r="AD686" s="60"/>
      <c r="AE686" s="60"/>
      <c r="AF686" s="60"/>
      <c r="AG686" s="60"/>
      <c r="AH686" s="60"/>
      <c r="AI686" s="60"/>
      <c r="AJ686" s="60"/>
    </row>
    <row r="687" spans="1:36" s="59" customFormat="1" ht="35.25">
      <c r="A687" s="193"/>
      <c r="B687" s="203"/>
      <c r="C687" s="186"/>
      <c r="D687" s="186"/>
      <c r="E687" s="186"/>
      <c r="F687" s="186"/>
      <c r="G687" s="186"/>
      <c r="H687" s="186"/>
      <c r="I687" s="186"/>
      <c r="J687" s="186"/>
      <c r="K687" s="186"/>
      <c r="L687" s="370"/>
      <c r="M687" s="370"/>
      <c r="N687" s="370"/>
      <c r="O687" s="370"/>
      <c r="P687" s="370"/>
      <c r="Q687" s="186"/>
      <c r="R687" s="186"/>
      <c r="S687" s="186"/>
      <c r="T687" s="186"/>
      <c r="U687" s="186"/>
      <c r="V687" s="186"/>
      <c r="W687" s="186"/>
      <c r="X687" s="186"/>
      <c r="Y687" s="186"/>
      <c r="Z687" s="305"/>
      <c r="AA687" s="60"/>
      <c r="AB687" s="60"/>
      <c r="AC687" s="60"/>
      <c r="AD687" s="60"/>
      <c r="AE687" s="60"/>
      <c r="AF687" s="60"/>
      <c r="AG687" s="60"/>
      <c r="AH687" s="60"/>
      <c r="AI687" s="60"/>
      <c r="AJ687" s="60"/>
    </row>
    <row r="688" spans="1:36" s="59" customFormat="1" ht="35.25">
      <c r="A688" s="193"/>
      <c r="B688" s="203"/>
      <c r="C688" s="186"/>
      <c r="D688" s="186"/>
      <c r="E688" s="186"/>
      <c r="F688" s="186"/>
      <c r="G688" s="186"/>
      <c r="H688" s="186"/>
      <c r="I688" s="186"/>
      <c r="J688" s="186"/>
      <c r="K688" s="186"/>
      <c r="L688" s="370"/>
      <c r="M688" s="370"/>
      <c r="N688" s="370"/>
      <c r="O688" s="370"/>
      <c r="P688" s="370"/>
      <c r="Q688" s="186"/>
      <c r="R688" s="186"/>
      <c r="S688" s="186"/>
      <c r="T688" s="186"/>
      <c r="U688" s="186"/>
      <c r="V688" s="186"/>
      <c r="W688" s="186"/>
      <c r="X688" s="186"/>
      <c r="Y688" s="186"/>
      <c r="Z688" s="305"/>
      <c r="AA688" s="60"/>
      <c r="AB688" s="60"/>
      <c r="AC688" s="60"/>
      <c r="AD688" s="60"/>
      <c r="AE688" s="60"/>
      <c r="AF688" s="60"/>
      <c r="AG688" s="60"/>
      <c r="AH688" s="60"/>
      <c r="AI688" s="60"/>
      <c r="AJ688" s="60"/>
    </row>
    <row r="689" spans="1:36" s="59" customFormat="1" ht="35.25">
      <c r="A689" s="193"/>
      <c r="B689" s="203"/>
      <c r="C689" s="186"/>
      <c r="D689" s="186"/>
      <c r="E689" s="186"/>
      <c r="F689" s="186"/>
      <c r="G689" s="186"/>
      <c r="H689" s="186"/>
      <c r="I689" s="186"/>
      <c r="J689" s="186"/>
      <c r="K689" s="186"/>
      <c r="L689" s="370"/>
      <c r="M689" s="370"/>
      <c r="N689" s="370"/>
      <c r="O689" s="370"/>
      <c r="P689" s="370"/>
      <c r="Q689" s="186"/>
      <c r="R689" s="186"/>
      <c r="S689" s="186"/>
      <c r="T689" s="186"/>
      <c r="U689" s="186"/>
      <c r="V689" s="186"/>
      <c r="W689" s="186"/>
      <c r="X689" s="186"/>
      <c r="Y689" s="186"/>
      <c r="Z689" s="305"/>
      <c r="AA689" s="60"/>
      <c r="AB689" s="60"/>
      <c r="AC689" s="60"/>
      <c r="AD689" s="60"/>
      <c r="AE689" s="60"/>
      <c r="AF689" s="60"/>
      <c r="AG689" s="60"/>
      <c r="AH689" s="60"/>
      <c r="AI689" s="60"/>
      <c r="AJ689" s="60"/>
    </row>
    <row r="690" spans="1:36" s="59" customFormat="1" ht="35.25">
      <c r="A690" s="193"/>
      <c r="B690" s="203"/>
      <c r="C690" s="186"/>
      <c r="D690" s="186"/>
      <c r="E690" s="186"/>
      <c r="F690" s="186"/>
      <c r="G690" s="186"/>
      <c r="H690" s="186"/>
      <c r="I690" s="186"/>
      <c r="J690" s="186"/>
      <c r="K690" s="186"/>
      <c r="L690" s="370"/>
      <c r="M690" s="370"/>
      <c r="N690" s="370"/>
      <c r="O690" s="370"/>
      <c r="P690" s="370"/>
      <c r="Q690" s="186"/>
      <c r="R690" s="186"/>
      <c r="S690" s="186"/>
      <c r="T690" s="186"/>
      <c r="U690" s="186"/>
      <c r="V690" s="186"/>
      <c r="W690" s="186"/>
      <c r="X690" s="186"/>
      <c r="Y690" s="186"/>
      <c r="Z690" s="305"/>
      <c r="AA690" s="60"/>
      <c r="AB690" s="60"/>
      <c r="AC690" s="60"/>
      <c r="AD690" s="60"/>
      <c r="AE690" s="60"/>
      <c r="AF690" s="60"/>
      <c r="AG690" s="60"/>
      <c r="AH690" s="60"/>
      <c r="AI690" s="60"/>
      <c r="AJ690" s="60"/>
    </row>
    <row r="691" spans="1:36" s="59" customFormat="1" ht="35.25">
      <c r="A691" s="193"/>
      <c r="B691" s="203"/>
      <c r="C691" s="186"/>
      <c r="D691" s="186"/>
      <c r="E691" s="186"/>
      <c r="F691" s="186"/>
      <c r="G691" s="186"/>
      <c r="H691" s="186"/>
      <c r="I691" s="186"/>
      <c r="J691" s="186"/>
      <c r="K691" s="186"/>
      <c r="L691" s="370"/>
      <c r="M691" s="370"/>
      <c r="N691" s="370"/>
      <c r="O691" s="370"/>
      <c r="P691" s="370"/>
      <c r="Q691" s="186"/>
      <c r="R691" s="186"/>
      <c r="S691" s="186"/>
      <c r="T691" s="186"/>
      <c r="U691" s="186"/>
      <c r="V691" s="186"/>
      <c r="W691" s="186"/>
      <c r="X691" s="186"/>
      <c r="Y691" s="186"/>
      <c r="Z691" s="305"/>
      <c r="AA691" s="60"/>
      <c r="AB691" s="60"/>
      <c r="AC691" s="60"/>
      <c r="AD691" s="60"/>
      <c r="AE691" s="60"/>
      <c r="AF691" s="60"/>
      <c r="AG691" s="60"/>
      <c r="AH691" s="60"/>
      <c r="AI691" s="60"/>
      <c r="AJ691" s="60"/>
    </row>
    <row r="692" spans="1:36" s="59" customFormat="1" ht="35.25">
      <c r="A692" s="193"/>
      <c r="B692" s="203"/>
      <c r="C692" s="186"/>
      <c r="D692" s="186"/>
      <c r="E692" s="186"/>
      <c r="F692" s="186"/>
      <c r="G692" s="186"/>
      <c r="H692" s="186"/>
      <c r="I692" s="186"/>
      <c r="J692" s="186"/>
      <c r="K692" s="186"/>
      <c r="L692" s="370"/>
      <c r="M692" s="370"/>
      <c r="N692" s="370"/>
      <c r="O692" s="370"/>
      <c r="P692" s="370"/>
      <c r="Q692" s="186"/>
      <c r="R692" s="186"/>
      <c r="S692" s="186"/>
      <c r="T692" s="186"/>
      <c r="U692" s="186"/>
      <c r="V692" s="186"/>
      <c r="W692" s="186"/>
      <c r="X692" s="186"/>
      <c r="Y692" s="186"/>
      <c r="Z692" s="305"/>
      <c r="AA692" s="60"/>
      <c r="AB692" s="60"/>
      <c r="AC692" s="60"/>
      <c r="AD692" s="60"/>
      <c r="AE692" s="60"/>
      <c r="AF692" s="60"/>
      <c r="AG692" s="60"/>
      <c r="AH692" s="60"/>
      <c r="AI692" s="60"/>
      <c r="AJ692" s="60"/>
    </row>
    <row r="693" spans="1:36" s="59" customFormat="1" ht="35.25">
      <c r="A693" s="193"/>
      <c r="B693" s="203"/>
      <c r="C693" s="186"/>
      <c r="D693" s="186"/>
      <c r="E693" s="186"/>
      <c r="F693" s="186"/>
      <c r="G693" s="186"/>
      <c r="H693" s="186"/>
      <c r="I693" s="186"/>
      <c r="J693" s="186"/>
      <c r="K693" s="186"/>
      <c r="L693" s="370"/>
      <c r="M693" s="370"/>
      <c r="N693" s="370"/>
      <c r="O693" s="370"/>
      <c r="P693" s="370"/>
      <c r="Q693" s="186"/>
      <c r="R693" s="186"/>
      <c r="S693" s="186"/>
      <c r="T693" s="186"/>
      <c r="U693" s="186"/>
      <c r="V693" s="186"/>
      <c r="W693" s="186"/>
      <c r="X693" s="186"/>
      <c r="Y693" s="186"/>
      <c r="Z693" s="305"/>
      <c r="AA693" s="60"/>
      <c r="AB693" s="60"/>
      <c r="AC693" s="60"/>
      <c r="AD693" s="60"/>
      <c r="AE693" s="60"/>
      <c r="AF693" s="60"/>
      <c r="AG693" s="60"/>
      <c r="AH693" s="60"/>
      <c r="AI693" s="60"/>
      <c r="AJ693" s="60"/>
    </row>
    <row r="694" spans="1:36" s="59" customFormat="1" ht="35.25">
      <c r="A694" s="193"/>
      <c r="B694" s="203"/>
      <c r="C694" s="186"/>
      <c r="D694" s="186"/>
      <c r="E694" s="186"/>
      <c r="F694" s="186"/>
      <c r="G694" s="186"/>
      <c r="H694" s="186"/>
      <c r="I694" s="186"/>
      <c r="J694" s="186"/>
      <c r="K694" s="186"/>
      <c r="L694" s="370"/>
      <c r="M694" s="370"/>
      <c r="N694" s="370"/>
      <c r="O694" s="370"/>
      <c r="P694" s="370"/>
      <c r="Q694" s="186"/>
      <c r="R694" s="186"/>
      <c r="S694" s="186"/>
      <c r="T694" s="186"/>
      <c r="U694" s="186"/>
      <c r="V694" s="186"/>
      <c r="W694" s="186"/>
      <c r="X694" s="186"/>
      <c r="Y694" s="186"/>
      <c r="Z694" s="305"/>
      <c r="AA694" s="60"/>
      <c r="AB694" s="60"/>
      <c r="AC694" s="60"/>
      <c r="AD694" s="60"/>
      <c r="AE694" s="60"/>
      <c r="AF694" s="60"/>
      <c r="AG694" s="60"/>
      <c r="AH694" s="60"/>
      <c r="AI694" s="60"/>
      <c r="AJ694" s="60"/>
    </row>
    <row r="695" spans="1:36" s="59" customFormat="1" ht="35.25">
      <c r="A695" s="193"/>
      <c r="B695" s="203"/>
      <c r="C695" s="186"/>
      <c r="D695" s="186"/>
      <c r="E695" s="186"/>
      <c r="F695" s="186"/>
      <c r="G695" s="186"/>
      <c r="H695" s="186"/>
      <c r="I695" s="186"/>
      <c r="J695" s="186"/>
      <c r="K695" s="186"/>
      <c r="L695" s="370"/>
      <c r="M695" s="370"/>
      <c r="N695" s="370"/>
      <c r="O695" s="370"/>
      <c r="P695" s="370"/>
      <c r="Q695" s="186"/>
      <c r="R695" s="186"/>
      <c r="S695" s="186"/>
      <c r="T695" s="186"/>
      <c r="U695" s="186"/>
      <c r="V695" s="186"/>
      <c r="W695" s="186"/>
      <c r="X695" s="186"/>
      <c r="Y695" s="186"/>
      <c r="Z695" s="305"/>
      <c r="AA695" s="60"/>
      <c r="AB695" s="60"/>
      <c r="AC695" s="60"/>
      <c r="AD695" s="60"/>
      <c r="AE695" s="60"/>
      <c r="AF695" s="60"/>
      <c r="AG695" s="60"/>
      <c r="AH695" s="60"/>
      <c r="AI695" s="60"/>
      <c r="AJ695" s="60"/>
    </row>
    <row r="696" spans="1:36" s="59" customFormat="1" ht="35.25">
      <c r="A696" s="193"/>
      <c r="B696" s="203"/>
      <c r="C696" s="186"/>
      <c r="D696" s="186"/>
      <c r="E696" s="186"/>
      <c r="F696" s="186"/>
      <c r="G696" s="186"/>
      <c r="H696" s="186"/>
      <c r="I696" s="186"/>
      <c r="J696" s="186"/>
      <c r="K696" s="186"/>
      <c r="L696" s="370"/>
      <c r="M696" s="370"/>
      <c r="N696" s="370"/>
      <c r="O696" s="370"/>
      <c r="P696" s="370"/>
      <c r="Q696" s="186"/>
      <c r="R696" s="186"/>
      <c r="S696" s="186"/>
      <c r="T696" s="186"/>
      <c r="U696" s="186"/>
      <c r="V696" s="186"/>
      <c r="W696" s="186"/>
      <c r="X696" s="186"/>
      <c r="Y696" s="186"/>
      <c r="Z696" s="305"/>
      <c r="AA696" s="60"/>
      <c r="AB696" s="60"/>
      <c r="AC696" s="60"/>
      <c r="AD696" s="60"/>
      <c r="AE696" s="60"/>
      <c r="AF696" s="60"/>
      <c r="AG696" s="60"/>
      <c r="AH696" s="60"/>
      <c r="AI696" s="60"/>
      <c r="AJ696" s="60"/>
    </row>
    <row r="697" spans="1:36" s="59" customFormat="1" ht="35.25">
      <c r="A697" s="193"/>
      <c r="B697" s="203"/>
      <c r="C697" s="186"/>
      <c r="D697" s="186"/>
      <c r="E697" s="186"/>
      <c r="F697" s="186"/>
      <c r="G697" s="186"/>
      <c r="H697" s="186"/>
      <c r="I697" s="186"/>
      <c r="J697" s="186"/>
      <c r="K697" s="186"/>
      <c r="L697" s="370"/>
      <c r="M697" s="370"/>
      <c r="N697" s="370"/>
      <c r="O697" s="370"/>
      <c r="P697" s="370"/>
      <c r="Q697" s="186"/>
      <c r="R697" s="186"/>
      <c r="S697" s="186"/>
      <c r="T697" s="186"/>
      <c r="U697" s="186"/>
      <c r="V697" s="186"/>
      <c r="W697" s="186"/>
      <c r="X697" s="186"/>
      <c r="Y697" s="186"/>
      <c r="Z697" s="305"/>
      <c r="AA697" s="60"/>
      <c r="AB697" s="60"/>
      <c r="AC697" s="60"/>
      <c r="AD697" s="60"/>
      <c r="AE697" s="60"/>
      <c r="AF697" s="60"/>
      <c r="AG697" s="60"/>
      <c r="AH697" s="60"/>
      <c r="AI697" s="60"/>
      <c r="AJ697" s="60"/>
    </row>
    <row r="698" spans="1:36" s="59" customFormat="1" ht="35.25">
      <c r="A698" s="193"/>
      <c r="B698" s="203"/>
      <c r="C698" s="186"/>
      <c r="D698" s="186"/>
      <c r="E698" s="186"/>
      <c r="F698" s="186"/>
      <c r="G698" s="186"/>
      <c r="H698" s="186"/>
      <c r="I698" s="186"/>
      <c r="J698" s="186"/>
      <c r="K698" s="186"/>
      <c r="L698" s="370"/>
      <c r="M698" s="370"/>
      <c r="N698" s="370"/>
      <c r="O698" s="370"/>
      <c r="P698" s="370"/>
      <c r="Q698" s="186"/>
      <c r="R698" s="186"/>
      <c r="S698" s="186"/>
      <c r="T698" s="186"/>
      <c r="U698" s="186"/>
      <c r="V698" s="186"/>
      <c r="W698" s="186"/>
      <c r="X698" s="186"/>
      <c r="Y698" s="186"/>
      <c r="Z698" s="305"/>
      <c r="AA698" s="60"/>
      <c r="AB698" s="60"/>
      <c r="AC698" s="60"/>
      <c r="AD698" s="60"/>
      <c r="AE698" s="60"/>
      <c r="AF698" s="60"/>
      <c r="AG698" s="60"/>
      <c r="AH698" s="60"/>
      <c r="AI698" s="60"/>
      <c r="AJ698" s="60"/>
    </row>
    <row r="699" spans="1:36" s="59" customFormat="1" ht="35.25">
      <c r="A699" s="193"/>
      <c r="B699" s="203"/>
      <c r="C699" s="186"/>
      <c r="D699" s="186"/>
      <c r="E699" s="186"/>
      <c r="F699" s="186"/>
      <c r="G699" s="186"/>
      <c r="H699" s="186"/>
      <c r="I699" s="186"/>
      <c r="J699" s="186"/>
      <c r="K699" s="186"/>
      <c r="L699" s="370"/>
      <c r="M699" s="370"/>
      <c r="N699" s="370"/>
      <c r="O699" s="370"/>
      <c r="P699" s="370"/>
      <c r="Q699" s="186"/>
      <c r="R699" s="186"/>
      <c r="S699" s="186"/>
      <c r="T699" s="186"/>
      <c r="U699" s="186"/>
      <c r="V699" s="186"/>
      <c r="W699" s="186"/>
      <c r="X699" s="186"/>
      <c r="Y699" s="186"/>
      <c r="Z699" s="305"/>
      <c r="AA699" s="60"/>
      <c r="AB699" s="60"/>
      <c r="AC699" s="60"/>
      <c r="AD699" s="60"/>
      <c r="AE699" s="60"/>
      <c r="AF699" s="60"/>
      <c r="AG699" s="60"/>
      <c r="AH699" s="60"/>
      <c r="AI699" s="60"/>
      <c r="AJ699" s="60"/>
    </row>
    <row r="700" spans="1:36" s="59" customFormat="1" ht="35.25">
      <c r="A700" s="193"/>
      <c r="B700" s="203"/>
      <c r="C700" s="186"/>
      <c r="D700" s="186"/>
      <c r="E700" s="186"/>
      <c r="F700" s="186"/>
      <c r="G700" s="186"/>
      <c r="H700" s="186"/>
      <c r="I700" s="186"/>
      <c r="J700" s="186"/>
      <c r="K700" s="186"/>
      <c r="L700" s="370"/>
      <c r="M700" s="370"/>
      <c r="N700" s="370"/>
      <c r="O700" s="370"/>
      <c r="P700" s="370"/>
      <c r="Q700" s="186"/>
      <c r="R700" s="186"/>
      <c r="S700" s="186"/>
      <c r="T700" s="186"/>
      <c r="U700" s="186"/>
      <c r="V700" s="186"/>
      <c r="W700" s="186"/>
      <c r="X700" s="186"/>
      <c r="Y700" s="186"/>
      <c r="Z700" s="305"/>
      <c r="AA700" s="60"/>
      <c r="AB700" s="60"/>
      <c r="AC700" s="60"/>
      <c r="AD700" s="60"/>
      <c r="AE700" s="60"/>
      <c r="AF700" s="60"/>
      <c r="AG700" s="60"/>
      <c r="AH700" s="60"/>
      <c r="AI700" s="60"/>
      <c r="AJ700" s="60"/>
    </row>
    <row r="701" spans="1:36" s="59" customFormat="1" ht="35.25">
      <c r="A701" s="193"/>
      <c r="B701" s="203"/>
      <c r="C701" s="186"/>
      <c r="D701" s="186"/>
      <c r="E701" s="186"/>
      <c r="F701" s="186"/>
      <c r="G701" s="186"/>
      <c r="H701" s="186"/>
      <c r="I701" s="186"/>
      <c r="J701" s="186"/>
      <c r="K701" s="186"/>
      <c r="L701" s="370"/>
      <c r="M701" s="370"/>
      <c r="N701" s="370"/>
      <c r="O701" s="370"/>
      <c r="P701" s="370"/>
      <c r="Q701" s="186"/>
      <c r="R701" s="186"/>
      <c r="S701" s="186"/>
      <c r="T701" s="186"/>
      <c r="U701" s="186"/>
      <c r="V701" s="186"/>
      <c r="W701" s="186"/>
      <c r="X701" s="186"/>
      <c r="Y701" s="186"/>
      <c r="Z701" s="305"/>
      <c r="AA701" s="60"/>
      <c r="AB701" s="60"/>
      <c r="AC701" s="60"/>
      <c r="AD701" s="60"/>
      <c r="AE701" s="60"/>
      <c r="AF701" s="60"/>
      <c r="AG701" s="60"/>
      <c r="AH701" s="60"/>
      <c r="AI701" s="60"/>
      <c r="AJ701" s="60"/>
    </row>
    <row r="702" spans="1:36" s="59" customFormat="1" ht="35.25">
      <c r="A702" s="193"/>
      <c r="B702" s="203"/>
      <c r="C702" s="186"/>
      <c r="D702" s="186"/>
      <c r="E702" s="186"/>
      <c r="F702" s="186"/>
      <c r="G702" s="186"/>
      <c r="H702" s="186"/>
      <c r="I702" s="186"/>
      <c r="J702" s="186"/>
      <c r="K702" s="186"/>
      <c r="L702" s="370"/>
      <c r="M702" s="370"/>
      <c r="N702" s="370"/>
      <c r="O702" s="370"/>
      <c r="P702" s="370"/>
      <c r="Q702" s="186"/>
      <c r="R702" s="186"/>
      <c r="S702" s="186"/>
      <c r="T702" s="186"/>
      <c r="U702" s="186"/>
      <c r="V702" s="186"/>
      <c r="W702" s="186"/>
      <c r="X702" s="186"/>
      <c r="Y702" s="186"/>
      <c r="Z702" s="305"/>
      <c r="AA702" s="60"/>
      <c r="AB702" s="60"/>
      <c r="AC702" s="60"/>
      <c r="AD702" s="60"/>
      <c r="AE702" s="60"/>
      <c r="AF702" s="60"/>
      <c r="AG702" s="60"/>
      <c r="AH702" s="60"/>
      <c r="AI702" s="60"/>
      <c r="AJ702" s="60"/>
    </row>
    <row r="703" spans="1:36" s="59" customFormat="1" ht="35.25">
      <c r="A703" s="193"/>
      <c r="B703" s="203"/>
      <c r="C703" s="186"/>
      <c r="D703" s="186"/>
      <c r="E703" s="186"/>
      <c r="F703" s="186"/>
      <c r="G703" s="186"/>
      <c r="H703" s="186"/>
      <c r="I703" s="186"/>
      <c r="J703" s="186"/>
      <c r="K703" s="186"/>
      <c r="L703" s="370"/>
      <c r="M703" s="370"/>
      <c r="N703" s="370"/>
      <c r="O703" s="370"/>
      <c r="P703" s="370"/>
      <c r="Q703" s="186"/>
      <c r="R703" s="186"/>
      <c r="S703" s="186"/>
      <c r="T703" s="186"/>
      <c r="U703" s="186"/>
      <c r="V703" s="186"/>
      <c r="W703" s="186"/>
      <c r="X703" s="186"/>
      <c r="Y703" s="186"/>
      <c r="Z703" s="305"/>
      <c r="AA703" s="60"/>
      <c r="AB703" s="60"/>
      <c r="AC703" s="60"/>
      <c r="AD703" s="60"/>
      <c r="AE703" s="60"/>
      <c r="AF703" s="60"/>
      <c r="AG703" s="60"/>
      <c r="AH703" s="60"/>
      <c r="AI703" s="60"/>
      <c r="AJ703" s="60"/>
    </row>
    <row r="704" spans="1:36" s="59" customFormat="1" ht="35.25">
      <c r="A704" s="193"/>
      <c r="B704" s="203"/>
      <c r="C704" s="186"/>
      <c r="D704" s="186"/>
      <c r="E704" s="186"/>
      <c r="F704" s="186"/>
      <c r="G704" s="186"/>
      <c r="H704" s="186"/>
      <c r="I704" s="186"/>
      <c r="J704" s="186"/>
      <c r="K704" s="186"/>
      <c r="L704" s="370"/>
      <c r="M704" s="370"/>
      <c r="N704" s="370"/>
      <c r="O704" s="370"/>
      <c r="P704" s="370"/>
      <c r="Q704" s="186"/>
      <c r="R704" s="186"/>
      <c r="S704" s="186"/>
      <c r="T704" s="186"/>
      <c r="U704" s="186"/>
      <c r="V704" s="186"/>
      <c r="W704" s="186"/>
      <c r="X704" s="186"/>
      <c r="Y704" s="186"/>
      <c r="Z704" s="305"/>
      <c r="AA704" s="60"/>
      <c r="AB704" s="60"/>
      <c r="AC704" s="60"/>
      <c r="AD704" s="60"/>
      <c r="AE704" s="60"/>
      <c r="AF704" s="60"/>
      <c r="AG704" s="60"/>
      <c r="AH704" s="60"/>
      <c r="AI704" s="60"/>
      <c r="AJ704" s="60"/>
    </row>
    <row r="705" spans="1:36" s="59" customFormat="1" ht="35.25">
      <c r="A705" s="193"/>
      <c r="B705" s="203"/>
      <c r="C705" s="186"/>
      <c r="D705" s="186"/>
      <c r="E705" s="186"/>
      <c r="F705" s="186"/>
      <c r="G705" s="186"/>
      <c r="H705" s="186"/>
      <c r="I705" s="186"/>
      <c r="J705" s="186"/>
      <c r="K705" s="186"/>
      <c r="L705" s="370"/>
      <c r="M705" s="370"/>
      <c r="N705" s="370"/>
      <c r="O705" s="370"/>
      <c r="P705" s="370"/>
      <c r="Q705" s="186"/>
      <c r="R705" s="186"/>
      <c r="S705" s="186"/>
      <c r="T705" s="186"/>
      <c r="U705" s="186"/>
      <c r="V705" s="186"/>
      <c r="W705" s="186"/>
      <c r="X705" s="186"/>
      <c r="Y705" s="186"/>
      <c r="Z705" s="305"/>
      <c r="AA705" s="60"/>
      <c r="AB705" s="60"/>
      <c r="AC705" s="60"/>
      <c r="AD705" s="60"/>
      <c r="AE705" s="60"/>
      <c r="AF705" s="60"/>
      <c r="AG705" s="60"/>
      <c r="AH705" s="60"/>
      <c r="AI705" s="60"/>
      <c r="AJ705" s="60"/>
    </row>
    <row r="706" spans="1:36" s="59" customFormat="1" ht="35.25">
      <c r="A706" s="193"/>
      <c r="B706" s="203"/>
      <c r="C706" s="186"/>
      <c r="D706" s="186"/>
      <c r="E706" s="186"/>
      <c r="F706" s="186"/>
      <c r="G706" s="186"/>
      <c r="H706" s="186"/>
      <c r="I706" s="186"/>
      <c r="J706" s="186"/>
      <c r="K706" s="186"/>
      <c r="L706" s="370"/>
      <c r="M706" s="370"/>
      <c r="N706" s="370"/>
      <c r="O706" s="370"/>
      <c r="P706" s="370"/>
      <c r="Q706" s="186"/>
      <c r="R706" s="186"/>
      <c r="S706" s="186"/>
      <c r="T706" s="186"/>
      <c r="U706" s="186"/>
      <c r="V706" s="186"/>
      <c r="W706" s="186"/>
      <c r="X706" s="186"/>
      <c r="Y706" s="186"/>
      <c r="Z706" s="305"/>
      <c r="AA706" s="60"/>
      <c r="AB706" s="60"/>
      <c r="AC706" s="60"/>
      <c r="AD706" s="60"/>
      <c r="AE706" s="60"/>
      <c r="AF706" s="60"/>
      <c r="AG706" s="60"/>
      <c r="AH706" s="60"/>
      <c r="AI706" s="60"/>
      <c r="AJ706" s="60"/>
    </row>
    <row r="707" spans="1:36" s="59" customFormat="1" ht="35.25">
      <c r="A707" s="193"/>
      <c r="B707" s="203"/>
      <c r="C707" s="186"/>
      <c r="D707" s="186"/>
      <c r="E707" s="186"/>
      <c r="F707" s="186"/>
      <c r="G707" s="186"/>
      <c r="H707" s="186"/>
      <c r="I707" s="186"/>
      <c r="J707" s="186"/>
      <c r="K707" s="186"/>
      <c r="L707" s="370"/>
      <c r="M707" s="370"/>
      <c r="N707" s="370"/>
      <c r="O707" s="370"/>
      <c r="P707" s="370"/>
      <c r="Q707" s="186"/>
      <c r="R707" s="186"/>
      <c r="S707" s="186"/>
      <c r="T707" s="186"/>
      <c r="U707" s="186"/>
      <c r="V707" s="186"/>
      <c r="W707" s="186"/>
      <c r="X707" s="186"/>
      <c r="Y707" s="186"/>
      <c r="Z707" s="305"/>
      <c r="AA707" s="60"/>
      <c r="AB707" s="60"/>
      <c r="AC707" s="60"/>
      <c r="AD707" s="60"/>
      <c r="AE707" s="60"/>
      <c r="AF707" s="60"/>
      <c r="AG707" s="60"/>
      <c r="AH707" s="60"/>
      <c r="AI707" s="60"/>
      <c r="AJ707" s="60"/>
    </row>
    <row r="708" spans="1:36" s="59" customFormat="1" ht="35.25">
      <c r="A708" s="193"/>
      <c r="B708" s="203"/>
      <c r="C708" s="186"/>
      <c r="D708" s="186"/>
      <c r="E708" s="186"/>
      <c r="F708" s="186"/>
      <c r="G708" s="186"/>
      <c r="H708" s="186"/>
      <c r="I708" s="186"/>
      <c r="J708" s="186"/>
      <c r="K708" s="186"/>
      <c r="L708" s="370"/>
      <c r="M708" s="370"/>
      <c r="N708" s="370"/>
      <c r="O708" s="370"/>
      <c r="P708" s="370"/>
      <c r="Q708" s="186"/>
      <c r="R708" s="186"/>
      <c r="S708" s="186"/>
      <c r="T708" s="186"/>
      <c r="U708" s="186"/>
      <c r="V708" s="186"/>
      <c r="W708" s="186"/>
      <c r="X708" s="186"/>
      <c r="Y708" s="186"/>
      <c r="Z708" s="305"/>
      <c r="AA708" s="60"/>
      <c r="AB708" s="60"/>
      <c r="AC708" s="60"/>
      <c r="AD708" s="60"/>
      <c r="AE708" s="60"/>
      <c r="AF708" s="60"/>
      <c r="AG708" s="60"/>
      <c r="AH708" s="60"/>
      <c r="AI708" s="60"/>
      <c r="AJ708" s="60"/>
    </row>
    <row r="709" spans="1:36" s="59" customFormat="1" ht="35.25">
      <c r="A709" s="193"/>
      <c r="B709" s="203"/>
      <c r="C709" s="186"/>
      <c r="D709" s="186"/>
      <c r="E709" s="186"/>
      <c r="F709" s="186"/>
      <c r="G709" s="186"/>
      <c r="H709" s="186"/>
      <c r="I709" s="186"/>
      <c r="J709" s="186"/>
      <c r="K709" s="186"/>
      <c r="L709" s="370"/>
      <c r="M709" s="370"/>
      <c r="N709" s="370"/>
      <c r="O709" s="370"/>
      <c r="P709" s="370"/>
      <c r="Q709" s="186"/>
      <c r="R709" s="186"/>
      <c r="S709" s="186"/>
      <c r="T709" s="186"/>
      <c r="U709" s="186"/>
      <c r="V709" s="186"/>
      <c r="W709" s="186"/>
      <c r="X709" s="186"/>
      <c r="Y709" s="186"/>
      <c r="Z709" s="305"/>
      <c r="AA709" s="60"/>
      <c r="AB709" s="60"/>
      <c r="AC709" s="60"/>
      <c r="AD709" s="60"/>
      <c r="AE709" s="60"/>
      <c r="AF709" s="60"/>
      <c r="AG709" s="60"/>
      <c r="AH709" s="60"/>
      <c r="AI709" s="60"/>
      <c r="AJ709" s="60"/>
    </row>
    <row r="710" spans="1:36" s="59" customFormat="1" ht="35.25">
      <c r="A710" s="193"/>
      <c r="B710" s="203"/>
      <c r="C710" s="186"/>
      <c r="D710" s="186"/>
      <c r="E710" s="186"/>
      <c r="F710" s="186"/>
      <c r="G710" s="186"/>
      <c r="H710" s="186"/>
      <c r="I710" s="186"/>
      <c r="J710" s="186"/>
      <c r="K710" s="186"/>
      <c r="L710" s="370"/>
      <c r="M710" s="370"/>
      <c r="N710" s="370"/>
      <c r="O710" s="370"/>
      <c r="P710" s="370"/>
      <c r="Q710" s="186"/>
      <c r="R710" s="186"/>
      <c r="S710" s="186"/>
      <c r="T710" s="186"/>
      <c r="U710" s="186"/>
      <c r="V710" s="186"/>
      <c r="W710" s="186"/>
      <c r="X710" s="186"/>
      <c r="Y710" s="186"/>
      <c r="Z710" s="305"/>
      <c r="AA710" s="60"/>
      <c r="AB710" s="60"/>
      <c r="AC710" s="60"/>
      <c r="AD710" s="60"/>
      <c r="AE710" s="60"/>
      <c r="AF710" s="60"/>
      <c r="AG710" s="60"/>
      <c r="AH710" s="60"/>
      <c r="AI710" s="60"/>
      <c r="AJ710" s="60"/>
    </row>
    <row r="711" spans="1:36" s="59" customFormat="1" ht="35.25">
      <c r="A711" s="193"/>
      <c r="B711" s="203"/>
      <c r="C711" s="186"/>
      <c r="D711" s="186"/>
      <c r="E711" s="186"/>
      <c r="F711" s="186"/>
      <c r="G711" s="186"/>
      <c r="H711" s="186"/>
      <c r="I711" s="186"/>
      <c r="J711" s="186"/>
      <c r="K711" s="186"/>
      <c r="L711" s="370"/>
      <c r="M711" s="370"/>
      <c r="N711" s="370"/>
      <c r="O711" s="370"/>
      <c r="P711" s="370"/>
      <c r="Q711" s="186"/>
      <c r="R711" s="186"/>
      <c r="S711" s="186"/>
      <c r="T711" s="186"/>
      <c r="U711" s="186"/>
      <c r="V711" s="186"/>
      <c r="W711" s="186"/>
      <c r="X711" s="186"/>
      <c r="Y711" s="186"/>
      <c r="Z711" s="305"/>
      <c r="AA711" s="60"/>
      <c r="AB711" s="60"/>
      <c r="AC711" s="60"/>
      <c r="AD711" s="60"/>
      <c r="AE711" s="60"/>
      <c r="AF711" s="60"/>
      <c r="AG711" s="60"/>
      <c r="AH711" s="60"/>
      <c r="AI711" s="60"/>
      <c r="AJ711" s="60"/>
    </row>
    <row r="712" spans="1:36" s="59" customFormat="1" ht="35.25">
      <c r="A712" s="193"/>
      <c r="B712" s="203"/>
      <c r="C712" s="186"/>
      <c r="D712" s="186"/>
      <c r="E712" s="186"/>
      <c r="F712" s="186"/>
      <c r="G712" s="186"/>
      <c r="H712" s="186"/>
      <c r="I712" s="186"/>
      <c r="J712" s="186"/>
      <c r="K712" s="186"/>
      <c r="L712" s="370"/>
      <c r="M712" s="370"/>
      <c r="N712" s="370"/>
      <c r="O712" s="370"/>
      <c r="P712" s="370"/>
      <c r="Q712" s="186"/>
      <c r="R712" s="186"/>
      <c r="S712" s="186"/>
      <c r="T712" s="186"/>
      <c r="U712" s="186"/>
      <c r="V712" s="186"/>
      <c r="W712" s="186"/>
      <c r="X712" s="186"/>
      <c r="Y712" s="186"/>
      <c r="Z712" s="305"/>
      <c r="AA712" s="60"/>
      <c r="AB712" s="60"/>
      <c r="AC712" s="60"/>
      <c r="AD712" s="60"/>
      <c r="AE712" s="60"/>
      <c r="AF712" s="60"/>
      <c r="AG712" s="60"/>
      <c r="AH712" s="60"/>
      <c r="AI712" s="60"/>
      <c r="AJ712" s="60"/>
    </row>
    <row r="713" spans="1:36" s="59" customFormat="1" ht="35.25">
      <c r="A713" s="193"/>
      <c r="B713" s="203"/>
      <c r="C713" s="186"/>
      <c r="D713" s="186"/>
      <c r="E713" s="186"/>
      <c r="F713" s="186"/>
      <c r="G713" s="186"/>
      <c r="H713" s="186"/>
      <c r="I713" s="186"/>
      <c r="J713" s="186"/>
      <c r="K713" s="186"/>
      <c r="L713" s="370"/>
      <c r="M713" s="370"/>
      <c r="N713" s="370"/>
      <c r="O713" s="370"/>
      <c r="P713" s="370"/>
      <c r="Q713" s="186"/>
      <c r="R713" s="186"/>
      <c r="S713" s="186"/>
      <c r="T713" s="186"/>
      <c r="U713" s="186"/>
      <c r="V713" s="186"/>
      <c r="W713" s="186"/>
      <c r="X713" s="186"/>
      <c r="Y713" s="186"/>
      <c r="Z713" s="305"/>
      <c r="AA713" s="60"/>
      <c r="AB713" s="60"/>
      <c r="AC713" s="60"/>
      <c r="AD713" s="60"/>
      <c r="AE713" s="60"/>
      <c r="AF713" s="60"/>
      <c r="AG713" s="60"/>
      <c r="AH713" s="60"/>
      <c r="AI713" s="60"/>
      <c r="AJ713" s="60"/>
    </row>
    <row r="714" spans="1:36" s="59" customFormat="1" ht="35.25">
      <c r="A714" s="193"/>
      <c r="B714" s="203"/>
      <c r="C714" s="186"/>
      <c r="D714" s="186"/>
      <c r="E714" s="186"/>
      <c r="F714" s="186"/>
      <c r="G714" s="186"/>
      <c r="H714" s="186"/>
      <c r="I714" s="186"/>
      <c r="J714" s="186"/>
      <c r="K714" s="186"/>
      <c r="L714" s="370"/>
      <c r="M714" s="370"/>
      <c r="N714" s="370"/>
      <c r="O714" s="370"/>
      <c r="P714" s="370"/>
      <c r="Q714" s="186"/>
      <c r="R714" s="186"/>
      <c r="S714" s="186"/>
      <c r="T714" s="186"/>
      <c r="U714" s="186"/>
      <c r="V714" s="186"/>
      <c r="W714" s="186"/>
      <c r="X714" s="186"/>
      <c r="Y714" s="186"/>
      <c r="Z714" s="305"/>
      <c r="AA714" s="60"/>
      <c r="AB714" s="60"/>
      <c r="AC714" s="60"/>
      <c r="AD714" s="60"/>
      <c r="AE714" s="60"/>
      <c r="AF714" s="60"/>
      <c r="AG714" s="60"/>
      <c r="AH714" s="60"/>
      <c r="AI714" s="60"/>
      <c r="AJ714" s="60"/>
    </row>
    <row r="715" spans="1:36" s="59" customFormat="1" ht="35.25">
      <c r="A715" s="193"/>
      <c r="B715" s="203"/>
      <c r="C715" s="186"/>
      <c r="D715" s="186"/>
      <c r="E715" s="186"/>
      <c r="F715" s="186"/>
      <c r="G715" s="186"/>
      <c r="H715" s="186"/>
      <c r="I715" s="186"/>
      <c r="J715" s="186"/>
      <c r="K715" s="186"/>
      <c r="L715" s="370"/>
      <c r="M715" s="370"/>
      <c r="N715" s="370"/>
      <c r="O715" s="370"/>
      <c r="P715" s="370"/>
      <c r="Q715" s="186"/>
      <c r="R715" s="186"/>
      <c r="S715" s="186"/>
      <c r="T715" s="186"/>
      <c r="U715" s="186"/>
      <c r="V715" s="186"/>
      <c r="W715" s="186"/>
      <c r="X715" s="186"/>
      <c r="Y715" s="186"/>
      <c r="Z715" s="305"/>
      <c r="AA715" s="60"/>
      <c r="AB715" s="60"/>
      <c r="AC715" s="60"/>
      <c r="AD715" s="60"/>
      <c r="AE715" s="60"/>
      <c r="AF715" s="60"/>
      <c r="AG715" s="60"/>
      <c r="AH715" s="60"/>
      <c r="AI715" s="60"/>
      <c r="AJ715" s="60"/>
    </row>
    <row r="716" spans="1:36" s="59" customFormat="1" ht="35.25">
      <c r="A716" s="193"/>
      <c r="B716" s="203"/>
      <c r="C716" s="186"/>
      <c r="D716" s="186"/>
      <c r="E716" s="186"/>
      <c r="F716" s="186"/>
      <c r="G716" s="186"/>
      <c r="H716" s="186"/>
      <c r="I716" s="186"/>
      <c r="J716" s="186"/>
      <c r="K716" s="186"/>
      <c r="L716" s="370"/>
      <c r="M716" s="370"/>
      <c r="N716" s="370"/>
      <c r="O716" s="370"/>
      <c r="P716" s="370"/>
      <c r="Q716" s="186"/>
      <c r="R716" s="186"/>
      <c r="S716" s="186"/>
      <c r="T716" s="186"/>
      <c r="U716" s="186"/>
      <c r="V716" s="186"/>
      <c r="W716" s="186"/>
      <c r="X716" s="186"/>
      <c r="Y716" s="186"/>
      <c r="Z716" s="305"/>
      <c r="AA716" s="60"/>
      <c r="AB716" s="60"/>
      <c r="AC716" s="60"/>
      <c r="AD716" s="60"/>
      <c r="AE716" s="60"/>
      <c r="AF716" s="60"/>
      <c r="AG716" s="60"/>
      <c r="AH716" s="60"/>
      <c r="AI716" s="60"/>
      <c r="AJ716" s="60"/>
    </row>
    <row r="717" spans="1:36" s="59" customFormat="1" ht="35.25">
      <c r="A717" s="193"/>
      <c r="B717" s="203"/>
      <c r="C717" s="186"/>
      <c r="D717" s="186"/>
      <c r="E717" s="186"/>
      <c r="F717" s="186"/>
      <c r="G717" s="186"/>
      <c r="H717" s="186"/>
      <c r="I717" s="186"/>
      <c r="J717" s="186"/>
      <c r="K717" s="186"/>
      <c r="L717" s="370"/>
      <c r="M717" s="370"/>
      <c r="N717" s="370"/>
      <c r="O717" s="370"/>
      <c r="P717" s="370"/>
      <c r="Q717" s="186"/>
      <c r="R717" s="186"/>
      <c r="S717" s="186"/>
      <c r="T717" s="186"/>
      <c r="U717" s="186"/>
      <c r="V717" s="186"/>
      <c r="W717" s="186"/>
      <c r="X717" s="186"/>
      <c r="Y717" s="186"/>
      <c r="Z717" s="305"/>
      <c r="AA717" s="60"/>
      <c r="AB717" s="60"/>
      <c r="AC717" s="60"/>
      <c r="AD717" s="60"/>
      <c r="AE717" s="60"/>
      <c r="AF717" s="60"/>
      <c r="AG717" s="60"/>
      <c r="AH717" s="60"/>
      <c r="AI717" s="60"/>
      <c r="AJ717" s="60"/>
    </row>
    <row r="718" spans="1:36" s="59" customFormat="1" ht="35.25">
      <c r="A718" s="193"/>
      <c r="B718" s="203"/>
      <c r="C718" s="186"/>
      <c r="D718" s="186"/>
      <c r="E718" s="186"/>
      <c r="F718" s="186"/>
      <c r="G718" s="186"/>
      <c r="H718" s="186"/>
      <c r="I718" s="186"/>
      <c r="J718" s="186"/>
      <c r="K718" s="186"/>
      <c r="L718" s="370"/>
      <c r="M718" s="370"/>
      <c r="N718" s="370"/>
      <c r="O718" s="370"/>
      <c r="P718" s="370"/>
      <c r="Q718" s="186"/>
      <c r="R718" s="186"/>
      <c r="S718" s="186"/>
      <c r="T718" s="186"/>
      <c r="U718" s="186"/>
      <c r="V718" s="186"/>
      <c r="W718" s="186"/>
      <c r="X718" s="186"/>
      <c r="Y718" s="186"/>
      <c r="Z718" s="305"/>
      <c r="AA718" s="60"/>
      <c r="AB718" s="60"/>
      <c r="AC718" s="60"/>
      <c r="AD718" s="60"/>
      <c r="AE718" s="60"/>
      <c r="AF718" s="60"/>
      <c r="AG718" s="60"/>
      <c r="AH718" s="60"/>
      <c r="AI718" s="60"/>
      <c r="AJ718" s="60"/>
    </row>
    <row r="719" spans="1:36" s="59" customFormat="1" ht="35.25">
      <c r="A719" s="193"/>
      <c r="B719" s="203"/>
      <c r="C719" s="186"/>
      <c r="D719" s="186"/>
      <c r="E719" s="186"/>
      <c r="F719" s="186"/>
      <c r="G719" s="186"/>
      <c r="H719" s="186"/>
      <c r="I719" s="186"/>
      <c r="J719" s="186"/>
      <c r="K719" s="186"/>
      <c r="L719" s="370"/>
      <c r="M719" s="370"/>
      <c r="N719" s="370"/>
      <c r="O719" s="370"/>
      <c r="P719" s="370"/>
      <c r="Q719" s="186"/>
      <c r="R719" s="186"/>
      <c r="S719" s="186"/>
      <c r="T719" s="186"/>
      <c r="U719" s="186"/>
      <c r="V719" s="186"/>
      <c r="W719" s="186"/>
      <c r="X719" s="186"/>
      <c r="Y719" s="186"/>
      <c r="Z719" s="305"/>
      <c r="AA719" s="60"/>
      <c r="AB719" s="60"/>
      <c r="AC719" s="60"/>
      <c r="AD719" s="60"/>
      <c r="AE719" s="60"/>
      <c r="AF719" s="60"/>
      <c r="AG719" s="60"/>
      <c r="AH719" s="60"/>
      <c r="AI719" s="60"/>
      <c r="AJ719" s="60"/>
    </row>
    <row r="720" spans="1:36" s="59" customFormat="1" ht="35.25">
      <c r="A720" s="193"/>
      <c r="B720" s="203"/>
      <c r="C720" s="186"/>
      <c r="D720" s="186"/>
      <c r="E720" s="186"/>
      <c r="F720" s="186"/>
      <c r="G720" s="186"/>
      <c r="H720" s="186"/>
      <c r="I720" s="186"/>
      <c r="J720" s="186"/>
      <c r="K720" s="186"/>
      <c r="L720" s="370"/>
      <c r="M720" s="370"/>
      <c r="N720" s="370"/>
      <c r="O720" s="370"/>
      <c r="P720" s="370"/>
      <c r="Q720" s="186"/>
      <c r="R720" s="186"/>
      <c r="S720" s="186"/>
      <c r="T720" s="186"/>
      <c r="U720" s="186"/>
      <c r="V720" s="186"/>
      <c r="W720" s="186"/>
      <c r="X720" s="186"/>
      <c r="Y720" s="186"/>
      <c r="Z720" s="305"/>
      <c r="AA720" s="60"/>
      <c r="AB720" s="60"/>
      <c r="AC720" s="60"/>
      <c r="AD720" s="60"/>
      <c r="AE720" s="60"/>
      <c r="AF720" s="60"/>
      <c r="AG720" s="60"/>
      <c r="AH720" s="60"/>
      <c r="AI720" s="60"/>
      <c r="AJ720" s="60"/>
    </row>
    <row r="721" spans="1:36" s="59" customFormat="1" ht="35.25">
      <c r="A721" s="193"/>
      <c r="B721" s="203"/>
      <c r="C721" s="186"/>
      <c r="D721" s="186"/>
      <c r="E721" s="186"/>
      <c r="F721" s="186"/>
      <c r="G721" s="186"/>
      <c r="H721" s="186"/>
      <c r="I721" s="186"/>
      <c r="J721" s="186"/>
      <c r="K721" s="186"/>
      <c r="L721" s="370"/>
      <c r="M721" s="370"/>
      <c r="N721" s="370"/>
      <c r="O721" s="370"/>
      <c r="P721" s="370"/>
      <c r="Q721" s="186"/>
      <c r="R721" s="186"/>
      <c r="S721" s="186"/>
      <c r="T721" s="186"/>
      <c r="U721" s="186"/>
      <c r="V721" s="186"/>
      <c r="W721" s="186"/>
      <c r="X721" s="186"/>
      <c r="Y721" s="186"/>
      <c r="Z721" s="305"/>
      <c r="AA721" s="60"/>
      <c r="AB721" s="60"/>
      <c r="AC721" s="60"/>
      <c r="AD721" s="60"/>
      <c r="AE721" s="60"/>
      <c r="AF721" s="60"/>
      <c r="AG721" s="60"/>
      <c r="AH721" s="60"/>
      <c r="AI721" s="60"/>
      <c r="AJ721" s="60"/>
    </row>
    <row r="722" spans="1:36" s="59" customFormat="1" ht="35.25">
      <c r="A722" s="193"/>
      <c r="B722" s="203"/>
      <c r="C722" s="186"/>
      <c r="D722" s="186"/>
      <c r="E722" s="186"/>
      <c r="F722" s="186"/>
      <c r="G722" s="186"/>
      <c r="H722" s="186"/>
      <c r="I722" s="186"/>
      <c r="J722" s="186"/>
      <c r="K722" s="186"/>
      <c r="L722" s="370"/>
      <c r="M722" s="370"/>
      <c r="N722" s="370"/>
      <c r="O722" s="370"/>
      <c r="P722" s="370"/>
      <c r="Q722" s="186"/>
      <c r="R722" s="186"/>
      <c r="S722" s="186"/>
      <c r="T722" s="186"/>
      <c r="U722" s="186"/>
      <c r="V722" s="186"/>
      <c r="W722" s="186"/>
      <c r="X722" s="186"/>
      <c r="Y722" s="186"/>
      <c r="Z722" s="305"/>
      <c r="AA722" s="60"/>
      <c r="AB722" s="60"/>
      <c r="AC722" s="60"/>
      <c r="AD722" s="60"/>
      <c r="AE722" s="60"/>
      <c r="AF722" s="60"/>
      <c r="AG722" s="60"/>
      <c r="AH722" s="60"/>
      <c r="AI722" s="60"/>
      <c r="AJ722" s="60"/>
    </row>
    <row r="723" spans="1:36" s="59" customFormat="1" ht="35.25">
      <c r="A723" s="193"/>
      <c r="B723" s="203"/>
      <c r="C723" s="186"/>
      <c r="D723" s="186"/>
      <c r="E723" s="186"/>
      <c r="F723" s="186"/>
      <c r="G723" s="186"/>
      <c r="H723" s="186"/>
      <c r="I723" s="186"/>
      <c r="J723" s="186"/>
      <c r="K723" s="186"/>
      <c r="L723" s="370"/>
      <c r="M723" s="370"/>
      <c r="N723" s="370"/>
      <c r="O723" s="370"/>
      <c r="P723" s="370"/>
      <c r="Q723" s="186"/>
      <c r="R723" s="186"/>
      <c r="S723" s="186"/>
      <c r="T723" s="186"/>
      <c r="U723" s="186"/>
      <c r="V723" s="186"/>
      <c r="W723" s="186"/>
      <c r="X723" s="186"/>
      <c r="Y723" s="186"/>
      <c r="Z723" s="305"/>
      <c r="AA723" s="60"/>
      <c r="AB723" s="60"/>
      <c r="AC723" s="60"/>
      <c r="AD723" s="60"/>
      <c r="AE723" s="60"/>
      <c r="AF723" s="60"/>
      <c r="AG723" s="60"/>
      <c r="AH723" s="60"/>
      <c r="AI723" s="60"/>
      <c r="AJ723" s="60"/>
    </row>
    <row r="724" spans="1:36" s="59" customFormat="1" ht="35.25">
      <c r="A724" s="193"/>
      <c r="B724" s="203"/>
      <c r="C724" s="186"/>
      <c r="D724" s="186"/>
      <c r="E724" s="186"/>
      <c r="F724" s="186"/>
      <c r="G724" s="186"/>
      <c r="H724" s="186"/>
      <c r="I724" s="186"/>
      <c r="J724" s="186"/>
      <c r="K724" s="186"/>
      <c r="L724" s="370"/>
      <c r="M724" s="370"/>
      <c r="N724" s="370"/>
      <c r="O724" s="370"/>
      <c r="P724" s="370"/>
      <c r="Q724" s="186"/>
      <c r="R724" s="186"/>
      <c r="S724" s="186"/>
      <c r="T724" s="186"/>
      <c r="U724" s="186"/>
      <c r="V724" s="186"/>
      <c r="W724" s="186"/>
      <c r="X724" s="186"/>
      <c r="Y724" s="186"/>
      <c r="Z724" s="305"/>
      <c r="AA724" s="60"/>
      <c r="AB724" s="60"/>
      <c r="AC724" s="60"/>
      <c r="AD724" s="60"/>
      <c r="AE724" s="60"/>
      <c r="AF724" s="60"/>
      <c r="AG724" s="60"/>
      <c r="AH724" s="60"/>
      <c r="AI724" s="60"/>
      <c r="AJ724" s="60"/>
    </row>
    <row r="725" spans="1:36" s="59" customFormat="1" ht="35.25">
      <c r="A725" s="193"/>
      <c r="B725" s="203"/>
      <c r="C725" s="186"/>
      <c r="D725" s="186"/>
      <c r="E725" s="186"/>
      <c r="F725" s="186"/>
      <c r="G725" s="186"/>
      <c r="H725" s="186"/>
      <c r="I725" s="186"/>
      <c r="J725" s="186"/>
      <c r="K725" s="186"/>
      <c r="L725" s="370"/>
      <c r="M725" s="370"/>
      <c r="N725" s="370"/>
      <c r="O725" s="370"/>
      <c r="P725" s="370"/>
      <c r="Q725" s="186"/>
      <c r="R725" s="186"/>
      <c r="S725" s="186"/>
      <c r="T725" s="186"/>
      <c r="U725" s="186"/>
      <c r="V725" s="186"/>
      <c r="W725" s="186"/>
      <c r="X725" s="186"/>
      <c r="Y725" s="186"/>
      <c r="Z725" s="305"/>
      <c r="AA725" s="60"/>
      <c r="AB725" s="60"/>
      <c r="AC725" s="60"/>
      <c r="AD725" s="60"/>
      <c r="AE725" s="60"/>
      <c r="AF725" s="60"/>
      <c r="AG725" s="60"/>
      <c r="AH725" s="60"/>
      <c r="AI725" s="60"/>
      <c r="AJ725" s="60"/>
    </row>
    <row r="726" spans="1:36" s="59" customFormat="1" ht="35.25">
      <c r="A726" s="193"/>
      <c r="B726" s="203"/>
      <c r="C726" s="186"/>
      <c r="D726" s="186"/>
      <c r="E726" s="186"/>
      <c r="F726" s="186"/>
      <c r="G726" s="186"/>
      <c r="H726" s="186"/>
      <c r="I726" s="186"/>
      <c r="J726" s="186"/>
      <c r="K726" s="186"/>
      <c r="L726" s="370"/>
      <c r="M726" s="370"/>
      <c r="N726" s="370"/>
      <c r="O726" s="370"/>
      <c r="P726" s="370"/>
      <c r="Q726" s="186"/>
      <c r="R726" s="186"/>
      <c r="S726" s="186"/>
      <c r="T726" s="186"/>
      <c r="U726" s="186"/>
      <c r="V726" s="186"/>
      <c r="W726" s="186"/>
      <c r="X726" s="186"/>
      <c r="Y726" s="186"/>
      <c r="Z726" s="305"/>
      <c r="AA726" s="60"/>
      <c r="AB726" s="60"/>
      <c r="AC726" s="60"/>
      <c r="AD726" s="60"/>
      <c r="AE726" s="60"/>
      <c r="AF726" s="60"/>
      <c r="AG726" s="60"/>
      <c r="AH726" s="60"/>
      <c r="AI726" s="60"/>
      <c r="AJ726" s="60"/>
    </row>
    <row r="727" spans="1:36" s="59" customFormat="1" ht="35.25">
      <c r="A727" s="193"/>
      <c r="B727" s="203"/>
      <c r="C727" s="186"/>
      <c r="D727" s="186"/>
      <c r="E727" s="186"/>
      <c r="F727" s="186"/>
      <c r="G727" s="186"/>
      <c r="H727" s="186"/>
      <c r="I727" s="186"/>
      <c r="J727" s="186"/>
      <c r="K727" s="186"/>
      <c r="L727" s="370"/>
      <c r="M727" s="370"/>
      <c r="N727" s="370"/>
      <c r="O727" s="370"/>
      <c r="P727" s="370"/>
      <c r="Q727" s="186"/>
      <c r="R727" s="186"/>
      <c r="S727" s="186"/>
      <c r="T727" s="186"/>
      <c r="U727" s="186"/>
      <c r="V727" s="186"/>
      <c r="W727" s="186"/>
      <c r="X727" s="186"/>
      <c r="Y727" s="186"/>
      <c r="Z727" s="305"/>
      <c r="AA727" s="60"/>
      <c r="AB727" s="60"/>
      <c r="AC727" s="60"/>
      <c r="AD727" s="60"/>
      <c r="AE727" s="60"/>
      <c r="AF727" s="60"/>
      <c r="AG727" s="60"/>
      <c r="AH727" s="60"/>
      <c r="AI727" s="60"/>
      <c r="AJ727" s="60"/>
    </row>
    <row r="728" spans="1:36" s="59" customFormat="1" ht="35.25">
      <c r="A728" s="193"/>
      <c r="B728" s="203"/>
      <c r="C728" s="186"/>
      <c r="D728" s="186"/>
      <c r="E728" s="186"/>
      <c r="F728" s="186"/>
      <c r="G728" s="186"/>
      <c r="H728" s="186"/>
      <c r="I728" s="186"/>
      <c r="J728" s="186"/>
      <c r="K728" s="186"/>
      <c r="L728" s="370"/>
      <c r="M728" s="370"/>
      <c r="N728" s="370"/>
      <c r="O728" s="370"/>
      <c r="P728" s="370"/>
      <c r="Q728" s="186"/>
      <c r="R728" s="186"/>
      <c r="S728" s="186"/>
      <c r="T728" s="186"/>
      <c r="U728" s="186"/>
      <c r="V728" s="186"/>
      <c r="W728" s="186"/>
      <c r="X728" s="186"/>
      <c r="Y728" s="186"/>
      <c r="Z728" s="305"/>
      <c r="AA728" s="60"/>
      <c r="AB728" s="60"/>
      <c r="AC728" s="60"/>
      <c r="AD728" s="60"/>
      <c r="AE728" s="60"/>
      <c r="AF728" s="60"/>
      <c r="AG728" s="60"/>
      <c r="AH728" s="60"/>
      <c r="AI728" s="60"/>
      <c r="AJ728" s="60"/>
    </row>
    <row r="729" spans="1:36" s="59" customFormat="1" ht="35.25">
      <c r="A729" s="193"/>
      <c r="B729" s="203"/>
      <c r="C729" s="186"/>
      <c r="D729" s="186"/>
      <c r="E729" s="186"/>
      <c r="F729" s="186"/>
      <c r="G729" s="186"/>
      <c r="H729" s="186"/>
      <c r="I729" s="186"/>
      <c r="J729" s="186"/>
      <c r="K729" s="186"/>
      <c r="L729" s="370"/>
      <c r="M729" s="370"/>
      <c r="N729" s="370"/>
      <c r="O729" s="370"/>
      <c r="P729" s="370"/>
      <c r="Q729" s="186"/>
      <c r="R729" s="186"/>
      <c r="S729" s="186"/>
      <c r="T729" s="186"/>
      <c r="U729" s="186"/>
      <c r="V729" s="186"/>
      <c r="W729" s="186"/>
      <c r="X729" s="186"/>
      <c r="Y729" s="186"/>
      <c r="Z729" s="305"/>
      <c r="AA729" s="60"/>
      <c r="AB729" s="60"/>
      <c r="AC729" s="60"/>
      <c r="AD729" s="60"/>
      <c r="AE729" s="60"/>
      <c r="AF729" s="60"/>
      <c r="AG729" s="60"/>
      <c r="AH729" s="60"/>
      <c r="AI729" s="60"/>
      <c r="AJ729" s="60"/>
    </row>
    <row r="730" spans="1:36" s="59" customFormat="1" ht="35.25">
      <c r="A730" s="193"/>
      <c r="B730" s="203"/>
      <c r="C730" s="186"/>
      <c r="D730" s="186"/>
      <c r="E730" s="186"/>
      <c r="F730" s="186"/>
      <c r="G730" s="186"/>
      <c r="H730" s="186"/>
      <c r="I730" s="186"/>
      <c r="J730" s="186"/>
      <c r="K730" s="186"/>
      <c r="L730" s="370"/>
      <c r="M730" s="370"/>
      <c r="N730" s="370"/>
      <c r="O730" s="370"/>
      <c r="P730" s="370"/>
      <c r="Q730" s="186"/>
      <c r="R730" s="186"/>
      <c r="S730" s="186"/>
      <c r="T730" s="186"/>
      <c r="U730" s="186"/>
      <c r="V730" s="186"/>
      <c r="W730" s="186"/>
      <c r="X730" s="186"/>
      <c r="Y730" s="186"/>
      <c r="Z730" s="305"/>
      <c r="AA730" s="60"/>
      <c r="AB730" s="60"/>
      <c r="AC730" s="60"/>
      <c r="AD730" s="60"/>
      <c r="AE730" s="60"/>
      <c r="AF730" s="60"/>
      <c r="AG730" s="60"/>
      <c r="AH730" s="60"/>
      <c r="AI730" s="60"/>
      <c r="AJ730" s="60"/>
    </row>
    <row r="731" spans="1:36" s="59" customFormat="1" ht="35.25">
      <c r="A731" s="193"/>
      <c r="B731" s="203"/>
      <c r="C731" s="186"/>
      <c r="D731" s="186"/>
      <c r="E731" s="186"/>
      <c r="F731" s="186"/>
      <c r="G731" s="186"/>
      <c r="H731" s="186"/>
      <c r="I731" s="186"/>
      <c r="J731" s="186"/>
      <c r="K731" s="186"/>
      <c r="L731" s="370"/>
      <c r="M731" s="370"/>
      <c r="N731" s="370"/>
      <c r="O731" s="370"/>
      <c r="P731" s="370"/>
      <c r="Q731" s="186"/>
      <c r="R731" s="186"/>
      <c r="S731" s="186"/>
      <c r="T731" s="186"/>
      <c r="U731" s="186"/>
      <c r="V731" s="186"/>
      <c r="W731" s="186"/>
      <c r="X731" s="186"/>
      <c r="Y731" s="186"/>
      <c r="Z731" s="305"/>
      <c r="AA731" s="60"/>
      <c r="AB731" s="60"/>
      <c r="AC731" s="60"/>
      <c r="AD731" s="60"/>
      <c r="AE731" s="60"/>
      <c r="AF731" s="60"/>
      <c r="AG731" s="60"/>
      <c r="AH731" s="60"/>
      <c r="AI731" s="60"/>
      <c r="AJ731" s="60"/>
    </row>
    <row r="732" spans="1:36" s="59" customFormat="1" ht="35.25">
      <c r="A732" s="193"/>
      <c r="B732" s="203"/>
      <c r="C732" s="186"/>
      <c r="D732" s="186"/>
      <c r="E732" s="186"/>
      <c r="F732" s="186"/>
      <c r="G732" s="186"/>
      <c r="H732" s="186"/>
      <c r="I732" s="186"/>
      <c r="J732" s="186"/>
      <c r="K732" s="186"/>
      <c r="L732" s="370"/>
      <c r="M732" s="370"/>
      <c r="N732" s="370"/>
      <c r="O732" s="370"/>
      <c r="P732" s="370"/>
      <c r="Q732" s="186"/>
      <c r="R732" s="186"/>
      <c r="S732" s="186"/>
      <c r="T732" s="186"/>
      <c r="U732" s="186"/>
      <c r="V732" s="186"/>
      <c r="W732" s="186"/>
      <c r="X732" s="186"/>
      <c r="Y732" s="186"/>
      <c r="Z732" s="305"/>
      <c r="AA732" s="60"/>
      <c r="AB732" s="60"/>
      <c r="AC732" s="60"/>
      <c r="AD732" s="60"/>
      <c r="AE732" s="60"/>
      <c r="AF732" s="60"/>
      <c r="AG732" s="60"/>
      <c r="AH732" s="60"/>
      <c r="AI732" s="60"/>
      <c r="AJ732" s="60"/>
    </row>
    <row r="733" spans="1:36" s="59" customFormat="1" ht="35.25">
      <c r="A733" s="193"/>
      <c r="B733" s="203"/>
      <c r="C733" s="186"/>
      <c r="D733" s="186"/>
      <c r="E733" s="186"/>
      <c r="F733" s="186"/>
      <c r="G733" s="186"/>
      <c r="H733" s="186"/>
      <c r="I733" s="186"/>
      <c r="J733" s="186"/>
      <c r="K733" s="186"/>
      <c r="L733" s="370"/>
      <c r="M733" s="370"/>
      <c r="N733" s="370"/>
      <c r="O733" s="370"/>
      <c r="P733" s="370"/>
      <c r="Q733" s="186"/>
      <c r="R733" s="186"/>
      <c r="S733" s="186"/>
      <c r="T733" s="186"/>
      <c r="U733" s="186"/>
      <c r="V733" s="186"/>
      <c r="W733" s="186"/>
      <c r="X733" s="186"/>
      <c r="Y733" s="186"/>
      <c r="Z733" s="305"/>
      <c r="AA733" s="60"/>
      <c r="AB733" s="60"/>
      <c r="AC733" s="60"/>
      <c r="AD733" s="60"/>
      <c r="AE733" s="60"/>
      <c r="AF733" s="60"/>
      <c r="AG733" s="60"/>
      <c r="AH733" s="60"/>
      <c r="AI733" s="60"/>
      <c r="AJ733" s="60"/>
    </row>
    <row r="734" spans="1:36" s="59" customFormat="1" ht="35.25">
      <c r="A734" s="193"/>
      <c r="B734" s="203"/>
      <c r="C734" s="186"/>
      <c r="D734" s="186"/>
      <c r="E734" s="186"/>
      <c r="F734" s="186"/>
      <c r="G734" s="186"/>
      <c r="H734" s="186"/>
      <c r="I734" s="186"/>
      <c r="J734" s="186"/>
      <c r="K734" s="186"/>
      <c r="L734" s="370"/>
      <c r="M734" s="370"/>
      <c r="N734" s="370"/>
      <c r="O734" s="370"/>
      <c r="P734" s="370"/>
      <c r="Q734" s="186"/>
      <c r="R734" s="186"/>
      <c r="S734" s="186"/>
      <c r="T734" s="186"/>
      <c r="U734" s="186"/>
      <c r="V734" s="186"/>
      <c r="W734" s="186"/>
      <c r="X734" s="186"/>
      <c r="Y734" s="186"/>
      <c r="Z734" s="305"/>
      <c r="AA734" s="60"/>
      <c r="AB734" s="60"/>
      <c r="AC734" s="60"/>
      <c r="AD734" s="60"/>
      <c r="AE734" s="60"/>
      <c r="AF734" s="60"/>
      <c r="AG734" s="60"/>
      <c r="AH734" s="60"/>
      <c r="AI734" s="60"/>
      <c r="AJ734" s="60"/>
    </row>
    <row r="735" spans="1:36" s="59" customFormat="1" ht="35.25">
      <c r="A735" s="193"/>
      <c r="B735" s="203"/>
      <c r="C735" s="186"/>
      <c r="D735" s="186"/>
      <c r="E735" s="186"/>
      <c r="F735" s="186"/>
      <c r="G735" s="186"/>
      <c r="H735" s="186"/>
      <c r="I735" s="186"/>
      <c r="J735" s="186"/>
      <c r="K735" s="186"/>
      <c r="L735" s="370"/>
      <c r="M735" s="370"/>
      <c r="N735" s="370"/>
      <c r="O735" s="370"/>
      <c r="P735" s="370"/>
      <c r="Q735" s="186"/>
      <c r="R735" s="186"/>
      <c r="S735" s="186"/>
      <c r="T735" s="186"/>
      <c r="U735" s="186"/>
      <c r="V735" s="186"/>
      <c r="W735" s="186"/>
      <c r="X735" s="186"/>
      <c r="Y735" s="186"/>
      <c r="Z735" s="305"/>
      <c r="AA735" s="60"/>
      <c r="AB735" s="60"/>
      <c r="AC735" s="60"/>
      <c r="AD735" s="60"/>
      <c r="AE735" s="60"/>
      <c r="AF735" s="60"/>
      <c r="AG735" s="60"/>
      <c r="AH735" s="60"/>
      <c r="AI735" s="60"/>
      <c r="AJ735" s="60"/>
    </row>
    <row r="736" spans="1:36" s="59" customFormat="1" ht="35.25">
      <c r="A736" s="193"/>
      <c r="B736" s="203"/>
      <c r="C736" s="186"/>
      <c r="D736" s="186"/>
      <c r="E736" s="186"/>
      <c r="F736" s="186"/>
      <c r="G736" s="186"/>
      <c r="H736" s="186"/>
      <c r="I736" s="186"/>
      <c r="J736" s="186"/>
      <c r="K736" s="186"/>
      <c r="L736" s="370"/>
      <c r="M736" s="370"/>
      <c r="N736" s="370"/>
      <c r="O736" s="370"/>
      <c r="P736" s="370"/>
      <c r="Q736" s="186"/>
      <c r="R736" s="186"/>
      <c r="S736" s="186"/>
      <c r="T736" s="186"/>
      <c r="U736" s="186"/>
      <c r="V736" s="186"/>
      <c r="W736" s="186"/>
      <c r="X736" s="186"/>
      <c r="Y736" s="186"/>
      <c r="Z736" s="305"/>
      <c r="AA736" s="60"/>
      <c r="AB736" s="60"/>
      <c r="AC736" s="60"/>
      <c r="AD736" s="60"/>
      <c r="AE736" s="60"/>
      <c r="AF736" s="60"/>
      <c r="AG736" s="60"/>
      <c r="AH736" s="60"/>
      <c r="AI736" s="60"/>
      <c r="AJ736" s="60"/>
    </row>
    <row r="737" spans="1:36" s="59" customFormat="1" ht="35.25">
      <c r="A737" s="193"/>
      <c r="B737" s="203"/>
      <c r="C737" s="186"/>
      <c r="D737" s="186"/>
      <c r="E737" s="186"/>
      <c r="F737" s="186"/>
      <c r="G737" s="186"/>
      <c r="H737" s="186"/>
      <c r="I737" s="186"/>
      <c r="J737" s="186"/>
      <c r="K737" s="186"/>
      <c r="L737" s="370"/>
      <c r="M737" s="370"/>
      <c r="N737" s="370"/>
      <c r="O737" s="370"/>
      <c r="P737" s="370"/>
      <c r="Q737" s="186"/>
      <c r="R737" s="186"/>
      <c r="S737" s="186"/>
      <c r="T737" s="186"/>
      <c r="U737" s="186"/>
      <c r="V737" s="186"/>
      <c r="W737" s="186"/>
      <c r="X737" s="186"/>
      <c r="Y737" s="186"/>
      <c r="Z737" s="305"/>
      <c r="AA737" s="60"/>
      <c r="AB737" s="60"/>
      <c r="AC737" s="60"/>
      <c r="AD737" s="60"/>
      <c r="AE737" s="60"/>
      <c r="AF737" s="60"/>
      <c r="AG737" s="60"/>
      <c r="AH737" s="60"/>
      <c r="AI737" s="60"/>
      <c r="AJ737" s="60"/>
    </row>
    <row r="738" spans="1:36" s="59" customFormat="1" ht="35.25">
      <c r="A738" s="193"/>
      <c r="B738" s="203"/>
      <c r="C738" s="186"/>
      <c r="D738" s="186"/>
      <c r="E738" s="186"/>
      <c r="F738" s="186"/>
      <c r="G738" s="186"/>
      <c r="H738" s="186"/>
      <c r="I738" s="186"/>
      <c r="J738" s="186"/>
      <c r="K738" s="186"/>
      <c r="L738" s="370"/>
      <c r="M738" s="370"/>
      <c r="N738" s="370"/>
      <c r="O738" s="370"/>
      <c r="P738" s="370"/>
      <c r="Q738" s="186"/>
      <c r="R738" s="186"/>
      <c r="S738" s="186"/>
      <c r="T738" s="186"/>
      <c r="U738" s="186"/>
      <c r="V738" s="186"/>
      <c r="W738" s="186"/>
      <c r="X738" s="186"/>
      <c r="Y738" s="186"/>
      <c r="Z738" s="305"/>
      <c r="AA738" s="60"/>
      <c r="AB738" s="60"/>
      <c r="AC738" s="60"/>
      <c r="AD738" s="60"/>
      <c r="AE738" s="60"/>
      <c r="AF738" s="60"/>
      <c r="AG738" s="60"/>
      <c r="AH738" s="60"/>
      <c r="AI738" s="60"/>
      <c r="AJ738" s="60"/>
    </row>
    <row r="739" spans="1:36" s="59" customFormat="1" ht="35.25">
      <c r="A739" s="193"/>
      <c r="B739" s="203"/>
      <c r="C739" s="186"/>
      <c r="D739" s="186"/>
      <c r="E739" s="186"/>
      <c r="F739" s="186"/>
      <c r="G739" s="186"/>
      <c r="H739" s="186"/>
      <c r="I739" s="186"/>
      <c r="J739" s="186"/>
      <c r="K739" s="186"/>
      <c r="L739" s="370"/>
      <c r="M739" s="370"/>
      <c r="N739" s="370"/>
      <c r="O739" s="370"/>
      <c r="P739" s="370"/>
      <c r="Q739" s="186"/>
      <c r="R739" s="186"/>
      <c r="S739" s="186"/>
      <c r="T739" s="186"/>
      <c r="U739" s="186"/>
      <c r="V739" s="186"/>
      <c r="W739" s="186"/>
      <c r="X739" s="186"/>
      <c r="Y739" s="186"/>
      <c r="Z739" s="305"/>
      <c r="AA739" s="60"/>
      <c r="AB739" s="60"/>
      <c r="AC739" s="60"/>
      <c r="AD739" s="60"/>
      <c r="AE739" s="60"/>
      <c r="AF739" s="60"/>
      <c r="AG739" s="60"/>
      <c r="AH739" s="60"/>
      <c r="AI739" s="60"/>
      <c r="AJ739" s="60"/>
    </row>
    <row r="740" spans="1:36" s="59" customFormat="1" ht="35.25">
      <c r="A740" s="193"/>
      <c r="B740" s="203"/>
      <c r="C740" s="186"/>
      <c r="D740" s="186"/>
      <c r="E740" s="186"/>
      <c r="F740" s="186"/>
      <c r="G740" s="186"/>
      <c r="H740" s="186"/>
      <c r="I740" s="186"/>
      <c r="J740" s="186"/>
      <c r="K740" s="186"/>
      <c r="L740" s="370"/>
      <c r="M740" s="370"/>
      <c r="N740" s="370"/>
      <c r="O740" s="370"/>
      <c r="P740" s="370"/>
      <c r="Q740" s="186"/>
      <c r="R740" s="186"/>
      <c r="S740" s="186"/>
      <c r="T740" s="186"/>
      <c r="U740" s="186"/>
      <c r="V740" s="186"/>
      <c r="W740" s="186"/>
      <c r="X740" s="186"/>
      <c r="Y740" s="186"/>
      <c r="Z740" s="305"/>
      <c r="AA740" s="60"/>
      <c r="AB740" s="60"/>
      <c r="AC740" s="60"/>
      <c r="AD740" s="60"/>
      <c r="AE740" s="60"/>
      <c r="AF740" s="60"/>
      <c r="AG740" s="60"/>
      <c r="AH740" s="60"/>
      <c r="AI740" s="60"/>
      <c r="AJ740" s="60"/>
    </row>
    <row r="741" spans="1:36" s="59" customFormat="1" ht="35.25">
      <c r="A741" s="193"/>
      <c r="B741" s="203"/>
      <c r="C741" s="186"/>
      <c r="D741" s="186"/>
      <c r="E741" s="186"/>
      <c r="F741" s="186"/>
      <c r="G741" s="186"/>
      <c r="H741" s="186"/>
      <c r="I741" s="186"/>
      <c r="J741" s="186"/>
      <c r="K741" s="186"/>
      <c r="L741" s="370"/>
      <c r="M741" s="370"/>
      <c r="N741" s="370"/>
      <c r="O741" s="370"/>
      <c r="P741" s="370"/>
      <c r="Q741" s="186"/>
      <c r="R741" s="186"/>
      <c r="S741" s="186"/>
      <c r="T741" s="186"/>
      <c r="U741" s="186"/>
      <c r="V741" s="186"/>
      <c r="W741" s="186"/>
      <c r="X741" s="186"/>
      <c r="Y741" s="186"/>
      <c r="Z741" s="305"/>
      <c r="AA741" s="60"/>
      <c r="AB741" s="60"/>
      <c r="AC741" s="60"/>
      <c r="AD741" s="60"/>
      <c r="AE741" s="60"/>
      <c r="AF741" s="60"/>
      <c r="AG741" s="60"/>
      <c r="AH741" s="60"/>
      <c r="AI741" s="60"/>
      <c r="AJ741" s="60"/>
    </row>
    <row r="742" spans="1:36" s="59" customFormat="1" ht="35.25">
      <c r="A742" s="193"/>
      <c r="B742" s="203"/>
      <c r="C742" s="186"/>
      <c r="D742" s="186"/>
      <c r="E742" s="186"/>
      <c r="F742" s="186"/>
      <c r="G742" s="186"/>
      <c r="H742" s="186"/>
      <c r="I742" s="186"/>
      <c r="J742" s="186"/>
      <c r="K742" s="186"/>
      <c r="L742" s="370"/>
      <c r="M742" s="370"/>
      <c r="N742" s="370"/>
      <c r="O742" s="370"/>
      <c r="P742" s="370"/>
      <c r="Q742" s="186"/>
      <c r="R742" s="186"/>
      <c r="S742" s="186"/>
      <c r="T742" s="186"/>
      <c r="U742" s="186"/>
      <c r="V742" s="186"/>
      <c r="W742" s="186"/>
      <c r="X742" s="186"/>
      <c r="Y742" s="186"/>
      <c r="Z742" s="305"/>
      <c r="AA742" s="60"/>
      <c r="AB742" s="60"/>
      <c r="AC742" s="60"/>
      <c r="AD742" s="60"/>
      <c r="AE742" s="60"/>
      <c r="AF742" s="60"/>
      <c r="AG742" s="60"/>
      <c r="AH742" s="60"/>
      <c r="AI742" s="60"/>
      <c r="AJ742" s="60"/>
    </row>
    <row r="743" spans="1:36" s="59" customFormat="1" ht="35.25">
      <c r="A743" s="193"/>
      <c r="B743" s="203"/>
      <c r="C743" s="186"/>
      <c r="D743" s="186"/>
      <c r="E743" s="186"/>
      <c r="F743" s="186"/>
      <c r="G743" s="186"/>
      <c r="H743" s="186"/>
      <c r="I743" s="186"/>
      <c r="J743" s="186"/>
      <c r="K743" s="186"/>
      <c r="L743" s="370"/>
      <c r="M743" s="370"/>
      <c r="N743" s="370"/>
      <c r="O743" s="370"/>
      <c r="P743" s="370"/>
      <c r="Q743" s="186"/>
      <c r="R743" s="186"/>
      <c r="S743" s="186"/>
      <c r="T743" s="186"/>
      <c r="U743" s="186"/>
      <c r="V743" s="186"/>
      <c r="W743" s="186"/>
      <c r="X743" s="186"/>
      <c r="Y743" s="186"/>
      <c r="Z743" s="305"/>
      <c r="AA743" s="60"/>
      <c r="AB743" s="60"/>
      <c r="AC743" s="60"/>
      <c r="AD743" s="60"/>
      <c r="AE743" s="60"/>
      <c r="AF743" s="60"/>
      <c r="AG743" s="60"/>
      <c r="AH743" s="60"/>
      <c r="AI743" s="60"/>
      <c r="AJ743" s="60"/>
    </row>
    <row r="744" spans="1:36" s="59" customFormat="1" ht="35.25">
      <c r="A744" s="193"/>
      <c r="B744" s="203"/>
      <c r="C744" s="186"/>
      <c r="D744" s="186"/>
      <c r="E744" s="186"/>
      <c r="F744" s="186"/>
      <c r="G744" s="186"/>
      <c r="H744" s="186"/>
      <c r="I744" s="186"/>
      <c r="J744" s="186"/>
      <c r="K744" s="186"/>
      <c r="L744" s="370"/>
      <c r="M744" s="370"/>
      <c r="N744" s="370"/>
      <c r="O744" s="370"/>
      <c r="P744" s="370"/>
      <c r="Q744" s="186"/>
      <c r="R744" s="186"/>
      <c r="S744" s="186"/>
      <c r="T744" s="186"/>
      <c r="U744" s="186"/>
      <c r="V744" s="186"/>
      <c r="W744" s="186"/>
      <c r="X744" s="186"/>
      <c r="Y744" s="186"/>
      <c r="Z744" s="305"/>
      <c r="AA744" s="60"/>
      <c r="AB744" s="60"/>
      <c r="AC744" s="60"/>
      <c r="AD744" s="60"/>
      <c r="AE744" s="60"/>
      <c r="AF744" s="60"/>
      <c r="AG744" s="60"/>
      <c r="AH744" s="60"/>
      <c r="AI744" s="60"/>
      <c r="AJ744" s="60"/>
    </row>
    <row r="745" spans="1:36" s="59" customFormat="1" ht="35.25">
      <c r="A745" s="193"/>
      <c r="B745" s="203"/>
      <c r="C745" s="186"/>
      <c r="D745" s="186"/>
      <c r="E745" s="186"/>
      <c r="F745" s="186"/>
      <c r="G745" s="186"/>
      <c r="H745" s="186"/>
      <c r="I745" s="186"/>
      <c r="J745" s="186"/>
      <c r="K745" s="186"/>
      <c r="L745" s="370"/>
      <c r="M745" s="370"/>
      <c r="N745" s="370"/>
      <c r="O745" s="370"/>
      <c r="P745" s="370"/>
      <c r="Q745" s="186"/>
      <c r="R745" s="186"/>
      <c r="S745" s="186"/>
      <c r="T745" s="186"/>
      <c r="U745" s="186"/>
      <c r="V745" s="186"/>
      <c r="W745" s="186"/>
      <c r="X745" s="186"/>
      <c r="Y745" s="186"/>
      <c r="Z745" s="305"/>
      <c r="AA745" s="60"/>
      <c r="AB745" s="60"/>
      <c r="AC745" s="60"/>
      <c r="AD745" s="60"/>
      <c r="AE745" s="60"/>
      <c r="AF745" s="60"/>
      <c r="AG745" s="60"/>
      <c r="AH745" s="60"/>
      <c r="AI745" s="60"/>
      <c r="AJ745" s="60"/>
    </row>
    <row r="746" spans="1:36" s="59" customFormat="1" ht="35.25">
      <c r="A746" s="193"/>
      <c r="B746" s="203"/>
      <c r="C746" s="186"/>
      <c r="D746" s="186"/>
      <c r="E746" s="186"/>
      <c r="F746" s="186"/>
      <c r="G746" s="186"/>
      <c r="H746" s="186"/>
      <c r="I746" s="186"/>
      <c r="J746" s="186"/>
      <c r="K746" s="186"/>
      <c r="L746" s="370"/>
      <c r="M746" s="370"/>
      <c r="N746" s="370"/>
      <c r="O746" s="370"/>
      <c r="P746" s="370"/>
      <c r="Q746" s="186"/>
      <c r="R746" s="186"/>
      <c r="S746" s="186"/>
      <c r="T746" s="186"/>
      <c r="U746" s="186"/>
      <c r="V746" s="186"/>
      <c r="W746" s="186"/>
      <c r="X746" s="186"/>
      <c r="Y746" s="186"/>
      <c r="Z746" s="305"/>
      <c r="AA746" s="60"/>
      <c r="AB746" s="60"/>
      <c r="AC746" s="60"/>
      <c r="AD746" s="60"/>
      <c r="AE746" s="60"/>
      <c r="AF746" s="60"/>
      <c r="AG746" s="60"/>
      <c r="AH746" s="60"/>
      <c r="AI746" s="60"/>
      <c r="AJ746" s="60"/>
    </row>
    <row r="747" spans="1:36" s="59" customFormat="1" ht="35.25">
      <c r="A747" s="193"/>
      <c r="B747" s="203"/>
      <c r="C747" s="186"/>
      <c r="D747" s="186"/>
      <c r="E747" s="186"/>
      <c r="F747" s="186"/>
      <c r="G747" s="186"/>
      <c r="H747" s="186"/>
      <c r="I747" s="186"/>
      <c r="J747" s="186"/>
      <c r="K747" s="186"/>
      <c r="L747" s="370"/>
      <c r="M747" s="370"/>
      <c r="N747" s="370"/>
      <c r="O747" s="370"/>
      <c r="P747" s="370"/>
      <c r="Q747" s="186"/>
      <c r="R747" s="186"/>
      <c r="S747" s="186"/>
      <c r="T747" s="186"/>
      <c r="U747" s="186"/>
      <c r="V747" s="186"/>
      <c r="W747" s="186"/>
      <c r="X747" s="186"/>
      <c r="Y747" s="186"/>
      <c r="Z747" s="305"/>
      <c r="AA747" s="60"/>
      <c r="AB747" s="60"/>
      <c r="AC747" s="60"/>
      <c r="AD747" s="60"/>
      <c r="AE747" s="60"/>
      <c r="AF747" s="60"/>
      <c r="AG747" s="60"/>
      <c r="AH747" s="60"/>
      <c r="AI747" s="60"/>
      <c r="AJ747" s="60"/>
    </row>
    <row r="748" spans="1:36" s="59" customFormat="1" ht="35.25">
      <c r="A748" s="193"/>
      <c r="B748" s="203"/>
      <c r="C748" s="186"/>
      <c r="D748" s="186"/>
      <c r="E748" s="186"/>
      <c r="F748" s="186"/>
      <c r="G748" s="186"/>
      <c r="H748" s="186"/>
      <c r="I748" s="186"/>
      <c r="J748" s="186"/>
      <c r="K748" s="186"/>
      <c r="L748" s="370"/>
      <c r="M748" s="370"/>
      <c r="N748" s="370"/>
      <c r="O748" s="370"/>
      <c r="P748" s="370"/>
      <c r="Q748" s="186"/>
      <c r="R748" s="186"/>
      <c r="S748" s="186"/>
      <c r="T748" s="186"/>
      <c r="U748" s="186"/>
      <c r="V748" s="186"/>
      <c r="W748" s="186"/>
      <c r="X748" s="186"/>
      <c r="Y748" s="186"/>
      <c r="Z748" s="305"/>
      <c r="AA748" s="60"/>
      <c r="AB748" s="60"/>
      <c r="AC748" s="60"/>
      <c r="AD748" s="60"/>
      <c r="AE748" s="60"/>
      <c r="AF748" s="60"/>
      <c r="AG748" s="60"/>
      <c r="AH748" s="60"/>
      <c r="AI748" s="60"/>
      <c r="AJ748" s="60"/>
    </row>
    <row r="749" spans="1:36" s="59" customFormat="1" ht="35.25">
      <c r="A749" s="193"/>
      <c r="B749" s="203"/>
      <c r="C749" s="186"/>
      <c r="D749" s="186"/>
      <c r="E749" s="186"/>
      <c r="F749" s="186"/>
      <c r="G749" s="186"/>
      <c r="H749" s="186"/>
      <c r="I749" s="186"/>
      <c r="J749" s="186"/>
      <c r="K749" s="186"/>
      <c r="L749" s="370"/>
      <c r="M749" s="370"/>
      <c r="N749" s="370"/>
      <c r="O749" s="370"/>
      <c r="P749" s="370"/>
      <c r="Q749" s="186"/>
      <c r="R749" s="186"/>
      <c r="S749" s="186"/>
      <c r="T749" s="186"/>
      <c r="U749" s="186"/>
      <c r="V749" s="186"/>
      <c r="W749" s="186"/>
      <c r="X749" s="186"/>
      <c r="Y749" s="186"/>
      <c r="Z749" s="305"/>
      <c r="AA749" s="60"/>
      <c r="AB749" s="60"/>
      <c r="AC749" s="60"/>
      <c r="AD749" s="60"/>
      <c r="AE749" s="60"/>
      <c r="AF749" s="60"/>
      <c r="AG749" s="60"/>
      <c r="AH749" s="60"/>
      <c r="AI749" s="60"/>
      <c r="AJ749" s="60"/>
    </row>
    <row r="750" spans="1:36" s="59" customFormat="1" ht="35.25">
      <c r="A750" s="193"/>
      <c r="B750" s="203"/>
      <c r="C750" s="186"/>
      <c r="D750" s="186"/>
      <c r="E750" s="186"/>
      <c r="F750" s="186"/>
      <c r="G750" s="186"/>
      <c r="H750" s="186"/>
      <c r="I750" s="186"/>
      <c r="J750" s="186"/>
      <c r="K750" s="186"/>
      <c r="L750" s="370"/>
      <c r="M750" s="370"/>
      <c r="N750" s="370"/>
      <c r="O750" s="370"/>
      <c r="P750" s="370"/>
      <c r="Q750" s="186"/>
      <c r="R750" s="186"/>
      <c r="S750" s="186"/>
      <c r="T750" s="186"/>
      <c r="U750" s="186"/>
      <c r="V750" s="186"/>
      <c r="W750" s="186"/>
      <c r="X750" s="186"/>
      <c r="Y750" s="186"/>
      <c r="Z750" s="305"/>
      <c r="AA750" s="60"/>
      <c r="AB750" s="60"/>
      <c r="AC750" s="60"/>
      <c r="AD750" s="60"/>
      <c r="AE750" s="60"/>
      <c r="AF750" s="60"/>
      <c r="AG750" s="60"/>
      <c r="AH750" s="60"/>
      <c r="AI750" s="60"/>
      <c r="AJ750" s="60"/>
    </row>
    <row r="751" spans="1:36" s="59" customFormat="1" ht="35.25">
      <c r="A751" s="193"/>
      <c r="B751" s="203"/>
      <c r="C751" s="186"/>
      <c r="D751" s="186"/>
      <c r="E751" s="186"/>
      <c r="F751" s="186"/>
      <c r="G751" s="186"/>
      <c r="H751" s="186"/>
      <c r="I751" s="186"/>
      <c r="J751" s="186"/>
      <c r="K751" s="186"/>
      <c r="L751" s="370"/>
      <c r="M751" s="370"/>
      <c r="N751" s="370"/>
      <c r="O751" s="370"/>
      <c r="P751" s="370"/>
      <c r="Q751" s="186"/>
      <c r="R751" s="186"/>
      <c r="S751" s="186"/>
      <c r="T751" s="186"/>
      <c r="U751" s="186"/>
      <c r="V751" s="186"/>
      <c r="W751" s="186"/>
      <c r="X751" s="186"/>
      <c r="Y751" s="186"/>
      <c r="Z751" s="305"/>
      <c r="AA751" s="60"/>
      <c r="AB751" s="60"/>
      <c r="AC751" s="60"/>
      <c r="AD751" s="60"/>
      <c r="AE751" s="60"/>
      <c r="AF751" s="60"/>
      <c r="AG751" s="60"/>
      <c r="AH751" s="60"/>
      <c r="AI751" s="60"/>
      <c r="AJ751" s="60"/>
    </row>
    <row r="752" spans="1:36" s="59" customFormat="1" ht="35.25">
      <c r="A752" s="193"/>
      <c r="B752" s="203"/>
      <c r="C752" s="186"/>
      <c r="D752" s="186"/>
      <c r="E752" s="186"/>
      <c r="F752" s="186"/>
      <c r="G752" s="186"/>
      <c r="H752" s="186"/>
      <c r="I752" s="186"/>
      <c r="J752" s="186"/>
      <c r="K752" s="186"/>
      <c r="L752" s="370"/>
      <c r="M752" s="370"/>
      <c r="N752" s="370"/>
      <c r="O752" s="370"/>
      <c r="P752" s="370"/>
      <c r="Q752" s="186"/>
      <c r="R752" s="186"/>
      <c r="S752" s="186"/>
      <c r="T752" s="186"/>
      <c r="U752" s="186"/>
      <c r="V752" s="186"/>
      <c r="W752" s="186"/>
      <c r="X752" s="186"/>
      <c r="Y752" s="186"/>
      <c r="Z752" s="305"/>
      <c r="AA752" s="60"/>
      <c r="AB752" s="60"/>
      <c r="AC752" s="60"/>
      <c r="AD752" s="60"/>
      <c r="AE752" s="60"/>
      <c r="AF752" s="60"/>
      <c r="AG752" s="60"/>
      <c r="AH752" s="60"/>
      <c r="AI752" s="60"/>
      <c r="AJ752" s="60"/>
    </row>
    <row r="753" spans="1:36" s="59" customFormat="1" ht="35.25">
      <c r="A753" s="193"/>
      <c r="B753" s="203"/>
      <c r="C753" s="186"/>
      <c r="D753" s="186"/>
      <c r="E753" s="186"/>
      <c r="F753" s="186"/>
      <c r="G753" s="186"/>
      <c r="H753" s="186"/>
      <c r="I753" s="186"/>
      <c r="J753" s="186"/>
      <c r="K753" s="186"/>
      <c r="L753" s="370"/>
      <c r="M753" s="370"/>
      <c r="N753" s="370"/>
      <c r="O753" s="370"/>
      <c r="P753" s="370"/>
      <c r="Q753" s="186"/>
      <c r="R753" s="186"/>
      <c r="S753" s="186"/>
      <c r="T753" s="186"/>
      <c r="U753" s="186"/>
      <c r="V753" s="186"/>
      <c r="W753" s="186"/>
      <c r="X753" s="186"/>
      <c r="Y753" s="186"/>
      <c r="Z753" s="305"/>
      <c r="AA753" s="60"/>
      <c r="AB753" s="60"/>
      <c r="AC753" s="60"/>
      <c r="AD753" s="60"/>
      <c r="AE753" s="60"/>
      <c r="AF753" s="60"/>
      <c r="AG753" s="60"/>
      <c r="AH753" s="60"/>
      <c r="AI753" s="60"/>
      <c r="AJ753" s="60"/>
    </row>
    <row r="754" spans="1:36" s="59" customFormat="1" ht="35.25">
      <c r="A754" s="193"/>
      <c r="B754" s="203"/>
      <c r="C754" s="186"/>
      <c r="D754" s="186"/>
      <c r="E754" s="186"/>
      <c r="F754" s="186"/>
      <c r="G754" s="186"/>
      <c r="H754" s="186"/>
      <c r="I754" s="186"/>
      <c r="J754" s="186"/>
      <c r="K754" s="186"/>
      <c r="L754" s="370"/>
      <c r="M754" s="370"/>
      <c r="N754" s="370"/>
      <c r="O754" s="370"/>
      <c r="P754" s="370"/>
      <c r="Q754" s="186"/>
      <c r="R754" s="186"/>
      <c r="S754" s="186"/>
      <c r="T754" s="186"/>
      <c r="U754" s="186"/>
      <c r="V754" s="186"/>
      <c r="W754" s="186"/>
      <c r="X754" s="186"/>
      <c r="Y754" s="186"/>
      <c r="Z754" s="305"/>
      <c r="AA754" s="60"/>
      <c r="AB754" s="60"/>
      <c r="AC754" s="60"/>
      <c r="AD754" s="60"/>
      <c r="AE754" s="60"/>
      <c r="AF754" s="60"/>
      <c r="AG754" s="60"/>
      <c r="AH754" s="60"/>
      <c r="AI754" s="60"/>
      <c r="AJ754" s="60"/>
    </row>
    <row r="755" spans="1:36" s="59" customFormat="1" ht="35.25">
      <c r="A755" s="193"/>
      <c r="B755" s="203"/>
      <c r="C755" s="186"/>
      <c r="D755" s="186"/>
      <c r="E755" s="186"/>
      <c r="F755" s="186"/>
      <c r="G755" s="186"/>
      <c r="H755" s="186"/>
      <c r="I755" s="186"/>
      <c r="J755" s="186"/>
      <c r="K755" s="186"/>
      <c r="L755" s="370"/>
      <c r="M755" s="370"/>
      <c r="N755" s="370"/>
      <c r="O755" s="370"/>
      <c r="P755" s="370"/>
      <c r="Q755" s="186"/>
      <c r="R755" s="186"/>
      <c r="S755" s="186"/>
      <c r="T755" s="186"/>
      <c r="U755" s="186"/>
      <c r="V755" s="186"/>
      <c r="W755" s="186"/>
      <c r="X755" s="186"/>
      <c r="Y755" s="186"/>
      <c r="Z755" s="305"/>
      <c r="AA755" s="60"/>
      <c r="AB755" s="60"/>
      <c r="AC755" s="60"/>
      <c r="AD755" s="60"/>
      <c r="AE755" s="60"/>
      <c r="AF755" s="60"/>
      <c r="AG755" s="60"/>
      <c r="AH755" s="60"/>
      <c r="AI755" s="60"/>
      <c r="AJ755" s="60"/>
    </row>
    <row r="756" spans="1:36" s="59" customFormat="1" ht="35.25">
      <c r="A756" s="193"/>
      <c r="B756" s="203"/>
      <c r="C756" s="186"/>
      <c r="D756" s="186"/>
      <c r="E756" s="186"/>
      <c r="F756" s="186"/>
      <c r="G756" s="186"/>
      <c r="H756" s="186"/>
      <c r="I756" s="186"/>
      <c r="J756" s="186"/>
      <c r="K756" s="186"/>
      <c r="L756" s="370"/>
      <c r="M756" s="370"/>
      <c r="N756" s="370"/>
      <c r="O756" s="370"/>
      <c r="P756" s="370"/>
      <c r="Q756" s="186"/>
      <c r="R756" s="186"/>
      <c r="S756" s="186"/>
      <c r="T756" s="186"/>
      <c r="U756" s="186"/>
      <c r="V756" s="186"/>
      <c r="W756" s="186"/>
      <c r="X756" s="186"/>
      <c r="Y756" s="186"/>
      <c r="Z756" s="305"/>
      <c r="AA756" s="60"/>
      <c r="AB756" s="60"/>
      <c r="AC756" s="60"/>
      <c r="AD756" s="60"/>
      <c r="AE756" s="60"/>
      <c r="AF756" s="60"/>
      <c r="AG756" s="60"/>
      <c r="AH756" s="60"/>
      <c r="AI756" s="60"/>
      <c r="AJ756" s="60"/>
    </row>
    <row r="757" spans="1:36" s="59" customFormat="1" ht="35.25">
      <c r="A757" s="193"/>
      <c r="B757" s="203"/>
      <c r="C757" s="186"/>
      <c r="D757" s="186"/>
      <c r="E757" s="186"/>
      <c r="F757" s="186"/>
      <c r="G757" s="186"/>
      <c r="H757" s="186"/>
      <c r="I757" s="186"/>
      <c r="J757" s="186"/>
      <c r="K757" s="186"/>
      <c r="L757" s="370"/>
      <c r="M757" s="370"/>
      <c r="N757" s="370"/>
      <c r="O757" s="370"/>
      <c r="P757" s="370"/>
      <c r="Q757" s="186"/>
      <c r="R757" s="186"/>
      <c r="S757" s="186"/>
      <c r="T757" s="186"/>
      <c r="U757" s="186"/>
      <c r="V757" s="186"/>
      <c r="W757" s="186"/>
      <c r="X757" s="186"/>
      <c r="Y757" s="186"/>
      <c r="Z757" s="305"/>
      <c r="AA757" s="60"/>
      <c r="AB757" s="60"/>
      <c r="AC757" s="60"/>
      <c r="AD757" s="60"/>
      <c r="AE757" s="60"/>
      <c r="AF757" s="60"/>
      <c r="AG757" s="60"/>
      <c r="AH757" s="60"/>
      <c r="AI757" s="60"/>
      <c r="AJ757" s="60"/>
    </row>
    <row r="758" spans="1:36" s="59" customFormat="1" ht="35.25">
      <c r="A758" s="193"/>
      <c r="B758" s="203"/>
      <c r="C758" s="186"/>
      <c r="D758" s="186"/>
      <c r="E758" s="186"/>
      <c r="F758" s="186"/>
      <c r="G758" s="186"/>
      <c r="H758" s="186"/>
      <c r="I758" s="186"/>
      <c r="J758" s="186"/>
      <c r="K758" s="186"/>
      <c r="L758" s="370"/>
      <c r="M758" s="370"/>
      <c r="N758" s="370"/>
      <c r="O758" s="370"/>
      <c r="P758" s="370"/>
      <c r="Q758" s="186"/>
      <c r="R758" s="186"/>
      <c r="S758" s="186"/>
      <c r="T758" s="186"/>
      <c r="U758" s="186"/>
      <c r="V758" s="186"/>
      <c r="W758" s="186"/>
      <c r="X758" s="186"/>
      <c r="Y758" s="186"/>
      <c r="Z758" s="305"/>
      <c r="AA758" s="60"/>
      <c r="AB758" s="60"/>
      <c r="AC758" s="60"/>
      <c r="AD758" s="60"/>
      <c r="AE758" s="60"/>
      <c r="AF758" s="60"/>
      <c r="AG758" s="60"/>
      <c r="AH758" s="60"/>
      <c r="AI758" s="60"/>
      <c r="AJ758" s="60"/>
    </row>
    <row r="759" spans="1:36" s="59" customFormat="1" ht="35.25">
      <c r="A759" s="193"/>
      <c r="B759" s="203"/>
      <c r="C759" s="186"/>
      <c r="D759" s="186"/>
      <c r="E759" s="186"/>
      <c r="F759" s="186"/>
      <c r="G759" s="186"/>
      <c r="H759" s="186"/>
      <c r="I759" s="186"/>
      <c r="J759" s="186"/>
      <c r="K759" s="186"/>
      <c r="L759" s="370"/>
      <c r="M759" s="370"/>
      <c r="N759" s="370"/>
      <c r="O759" s="370"/>
      <c r="P759" s="370"/>
      <c r="Q759" s="186"/>
      <c r="R759" s="186"/>
      <c r="S759" s="186"/>
      <c r="T759" s="186"/>
      <c r="U759" s="186"/>
      <c r="V759" s="186"/>
      <c r="W759" s="186"/>
      <c r="X759" s="186"/>
      <c r="Y759" s="186"/>
      <c r="Z759" s="305"/>
      <c r="AA759" s="60"/>
      <c r="AB759" s="60"/>
      <c r="AC759" s="60"/>
      <c r="AD759" s="60"/>
      <c r="AE759" s="60"/>
      <c r="AF759" s="60"/>
      <c r="AG759" s="60"/>
      <c r="AH759" s="60"/>
      <c r="AI759" s="60"/>
      <c r="AJ759" s="60"/>
    </row>
    <row r="760" spans="1:36" s="59" customFormat="1" ht="35.25">
      <c r="A760" s="193"/>
      <c r="B760" s="203"/>
      <c r="C760" s="186"/>
      <c r="D760" s="186"/>
      <c r="E760" s="186"/>
      <c r="F760" s="186"/>
      <c r="G760" s="186"/>
      <c r="H760" s="186"/>
      <c r="I760" s="186"/>
      <c r="J760" s="186"/>
      <c r="K760" s="186"/>
      <c r="L760" s="370"/>
      <c r="M760" s="370"/>
      <c r="N760" s="370"/>
      <c r="O760" s="370"/>
      <c r="P760" s="370"/>
      <c r="Q760" s="186"/>
      <c r="R760" s="186"/>
      <c r="S760" s="186"/>
      <c r="T760" s="186"/>
      <c r="U760" s="186"/>
      <c r="V760" s="186"/>
      <c r="W760" s="186"/>
      <c r="X760" s="186"/>
      <c r="Y760" s="186"/>
      <c r="Z760" s="305"/>
      <c r="AA760" s="60"/>
      <c r="AB760" s="60"/>
      <c r="AC760" s="60"/>
      <c r="AD760" s="60"/>
      <c r="AE760" s="60"/>
      <c r="AF760" s="60"/>
      <c r="AG760" s="60"/>
      <c r="AH760" s="60"/>
      <c r="AI760" s="60"/>
      <c r="AJ760" s="60"/>
    </row>
    <row r="761" spans="1:36" s="59" customFormat="1" ht="35.25">
      <c r="A761" s="193"/>
      <c r="B761" s="203"/>
      <c r="C761" s="186"/>
      <c r="D761" s="186"/>
      <c r="E761" s="186"/>
      <c r="F761" s="186"/>
      <c r="G761" s="186"/>
      <c r="H761" s="186"/>
      <c r="I761" s="186"/>
      <c r="J761" s="186"/>
      <c r="K761" s="186"/>
      <c r="L761" s="370"/>
      <c r="M761" s="370"/>
      <c r="N761" s="370"/>
      <c r="O761" s="370"/>
      <c r="P761" s="370"/>
      <c r="Q761" s="186"/>
      <c r="R761" s="186"/>
      <c r="S761" s="186"/>
      <c r="T761" s="186"/>
      <c r="U761" s="186"/>
      <c r="V761" s="186"/>
      <c r="W761" s="186"/>
      <c r="X761" s="186"/>
      <c r="Y761" s="186"/>
      <c r="Z761" s="305"/>
      <c r="AA761" s="60"/>
      <c r="AB761" s="60"/>
      <c r="AC761" s="60"/>
      <c r="AD761" s="60"/>
      <c r="AE761" s="60"/>
      <c r="AF761" s="60"/>
      <c r="AG761" s="60"/>
      <c r="AH761" s="60"/>
      <c r="AI761" s="60"/>
      <c r="AJ761" s="60"/>
    </row>
    <row r="762" spans="1:36" s="59" customFormat="1" ht="35.25">
      <c r="A762" s="193"/>
      <c r="B762" s="203"/>
      <c r="C762" s="186"/>
      <c r="D762" s="186"/>
      <c r="E762" s="186"/>
      <c r="F762" s="186"/>
      <c r="G762" s="186"/>
      <c r="H762" s="186"/>
      <c r="I762" s="186"/>
      <c r="J762" s="186"/>
      <c r="K762" s="186"/>
      <c r="L762" s="370"/>
      <c r="M762" s="370"/>
      <c r="N762" s="370"/>
      <c r="O762" s="370"/>
      <c r="P762" s="370"/>
      <c r="Q762" s="186"/>
      <c r="R762" s="186"/>
      <c r="S762" s="186"/>
      <c r="T762" s="186"/>
      <c r="U762" s="186"/>
      <c r="V762" s="186"/>
      <c r="W762" s="186"/>
      <c r="X762" s="186"/>
      <c r="Y762" s="186"/>
      <c r="Z762" s="305"/>
      <c r="AA762" s="60"/>
      <c r="AB762" s="60"/>
      <c r="AC762" s="60"/>
      <c r="AD762" s="60"/>
      <c r="AE762" s="60"/>
      <c r="AF762" s="60"/>
      <c r="AG762" s="60"/>
      <c r="AH762" s="60"/>
      <c r="AI762" s="60"/>
      <c r="AJ762" s="60"/>
    </row>
    <row r="763" spans="1:36" s="59" customFormat="1" ht="35.25">
      <c r="A763" s="193"/>
      <c r="B763" s="203"/>
      <c r="C763" s="186"/>
      <c r="D763" s="186"/>
      <c r="E763" s="186"/>
      <c r="F763" s="186"/>
      <c r="G763" s="186"/>
      <c r="H763" s="186"/>
      <c r="I763" s="186"/>
      <c r="J763" s="186"/>
      <c r="K763" s="186"/>
      <c r="L763" s="370"/>
      <c r="M763" s="370"/>
      <c r="N763" s="370"/>
      <c r="O763" s="370"/>
      <c r="P763" s="370"/>
      <c r="Q763" s="186"/>
      <c r="R763" s="186"/>
      <c r="S763" s="186"/>
      <c r="T763" s="186"/>
      <c r="U763" s="186"/>
      <c r="V763" s="186"/>
      <c r="W763" s="186"/>
      <c r="X763" s="186"/>
      <c r="Y763" s="186"/>
      <c r="Z763" s="305"/>
      <c r="AA763" s="60"/>
      <c r="AB763" s="60"/>
      <c r="AC763" s="60"/>
      <c r="AD763" s="60"/>
      <c r="AE763" s="60"/>
      <c r="AF763" s="60"/>
      <c r="AG763" s="60"/>
      <c r="AH763" s="60"/>
      <c r="AI763" s="60"/>
      <c r="AJ763" s="60"/>
    </row>
    <row r="764" spans="1:36" s="59" customFormat="1" ht="35.25">
      <c r="A764" s="193"/>
      <c r="B764" s="203"/>
      <c r="C764" s="186"/>
      <c r="D764" s="186"/>
      <c r="E764" s="186"/>
      <c r="F764" s="186"/>
      <c r="G764" s="186"/>
      <c r="H764" s="186"/>
      <c r="I764" s="186"/>
      <c r="J764" s="186"/>
      <c r="K764" s="186"/>
      <c r="L764" s="370"/>
      <c r="M764" s="370"/>
      <c r="N764" s="370"/>
      <c r="O764" s="370"/>
      <c r="P764" s="370"/>
      <c r="Q764" s="186"/>
      <c r="R764" s="186"/>
      <c r="S764" s="186"/>
      <c r="T764" s="186"/>
      <c r="U764" s="186"/>
      <c r="V764" s="186"/>
      <c r="W764" s="186"/>
      <c r="X764" s="186"/>
      <c r="Y764" s="186"/>
      <c r="Z764" s="305"/>
      <c r="AA764" s="60"/>
      <c r="AB764" s="60"/>
      <c r="AC764" s="60"/>
      <c r="AD764" s="60"/>
      <c r="AE764" s="60"/>
      <c r="AF764" s="60"/>
      <c r="AG764" s="60"/>
      <c r="AH764" s="60"/>
      <c r="AI764" s="60"/>
      <c r="AJ764" s="60"/>
    </row>
    <row r="765" spans="1:36" s="59" customFormat="1" ht="35.25">
      <c r="A765" s="193"/>
      <c r="B765" s="203"/>
      <c r="C765" s="186"/>
      <c r="D765" s="186"/>
      <c r="E765" s="186"/>
      <c r="F765" s="186"/>
      <c r="G765" s="186"/>
      <c r="H765" s="186"/>
      <c r="I765" s="186"/>
      <c r="J765" s="186"/>
      <c r="K765" s="186"/>
      <c r="L765" s="370"/>
      <c r="M765" s="370"/>
      <c r="N765" s="370"/>
      <c r="O765" s="370"/>
      <c r="P765" s="370"/>
      <c r="Q765" s="186"/>
      <c r="R765" s="186"/>
      <c r="S765" s="186"/>
      <c r="T765" s="186"/>
      <c r="U765" s="186"/>
      <c r="V765" s="186"/>
      <c r="W765" s="186"/>
      <c r="X765" s="186"/>
      <c r="Y765" s="186"/>
      <c r="Z765" s="305"/>
      <c r="AA765" s="60"/>
      <c r="AB765" s="60"/>
      <c r="AC765" s="60"/>
      <c r="AD765" s="60"/>
      <c r="AE765" s="60"/>
      <c r="AF765" s="60"/>
      <c r="AG765" s="60"/>
      <c r="AH765" s="60"/>
      <c r="AI765" s="60"/>
      <c r="AJ765" s="60"/>
    </row>
    <row r="766" spans="1:36" s="59" customFormat="1" ht="35.25">
      <c r="A766" s="193"/>
      <c r="B766" s="203"/>
      <c r="C766" s="186"/>
      <c r="D766" s="186"/>
      <c r="E766" s="186"/>
      <c r="F766" s="186"/>
      <c r="G766" s="186"/>
      <c r="H766" s="186"/>
      <c r="I766" s="186"/>
      <c r="J766" s="186"/>
      <c r="K766" s="186"/>
      <c r="L766" s="370"/>
      <c r="M766" s="370"/>
      <c r="N766" s="370"/>
      <c r="O766" s="370"/>
      <c r="P766" s="370"/>
      <c r="Q766" s="186"/>
      <c r="R766" s="186"/>
      <c r="S766" s="186"/>
      <c r="T766" s="186"/>
      <c r="U766" s="186"/>
      <c r="V766" s="186"/>
      <c r="W766" s="186"/>
      <c r="X766" s="186"/>
      <c r="Y766" s="186"/>
      <c r="Z766" s="305"/>
      <c r="AA766" s="60"/>
      <c r="AB766" s="60"/>
      <c r="AC766" s="60"/>
      <c r="AD766" s="60"/>
      <c r="AE766" s="60"/>
      <c r="AF766" s="60"/>
      <c r="AG766" s="60"/>
      <c r="AH766" s="60"/>
      <c r="AI766" s="60"/>
      <c r="AJ766" s="60"/>
    </row>
    <row r="767" spans="1:36" s="59" customFormat="1" ht="35.25">
      <c r="A767" s="193"/>
      <c r="B767" s="203"/>
      <c r="C767" s="186"/>
      <c r="D767" s="186"/>
      <c r="E767" s="186"/>
      <c r="F767" s="186"/>
      <c r="G767" s="186"/>
      <c r="H767" s="186"/>
      <c r="I767" s="186"/>
      <c r="J767" s="186"/>
      <c r="K767" s="186"/>
      <c r="L767" s="370"/>
      <c r="M767" s="370"/>
      <c r="N767" s="370"/>
      <c r="O767" s="370"/>
      <c r="P767" s="370"/>
      <c r="Q767" s="186"/>
      <c r="R767" s="186"/>
      <c r="S767" s="186"/>
      <c r="T767" s="186"/>
      <c r="U767" s="186"/>
      <c r="V767" s="186"/>
      <c r="W767" s="186"/>
      <c r="X767" s="186"/>
      <c r="Y767" s="186"/>
      <c r="Z767" s="305"/>
      <c r="AA767" s="60"/>
      <c r="AB767" s="60"/>
      <c r="AC767" s="60"/>
      <c r="AD767" s="60"/>
      <c r="AE767" s="60"/>
      <c r="AF767" s="60"/>
      <c r="AG767" s="60"/>
      <c r="AH767" s="60"/>
      <c r="AI767" s="60"/>
      <c r="AJ767" s="60"/>
    </row>
    <row r="768" spans="1:36" s="59" customFormat="1" ht="35.25">
      <c r="A768" s="193"/>
      <c r="B768" s="203"/>
      <c r="C768" s="186"/>
      <c r="D768" s="186"/>
      <c r="E768" s="186"/>
      <c r="F768" s="186"/>
      <c r="G768" s="186"/>
      <c r="H768" s="186"/>
      <c r="I768" s="186"/>
      <c r="J768" s="186"/>
      <c r="K768" s="186"/>
      <c r="L768" s="370"/>
      <c r="M768" s="370"/>
      <c r="N768" s="370"/>
      <c r="O768" s="370"/>
      <c r="P768" s="370"/>
      <c r="Q768" s="186"/>
      <c r="R768" s="186"/>
      <c r="S768" s="186"/>
      <c r="T768" s="186"/>
      <c r="U768" s="186"/>
      <c r="V768" s="186"/>
      <c r="W768" s="186"/>
      <c r="X768" s="186"/>
      <c r="Y768" s="186"/>
      <c r="Z768" s="305"/>
      <c r="AA768" s="60"/>
      <c r="AB768" s="60"/>
      <c r="AC768" s="60"/>
      <c r="AD768" s="60"/>
      <c r="AE768" s="60"/>
      <c r="AF768" s="60"/>
      <c r="AG768" s="60"/>
      <c r="AH768" s="60"/>
      <c r="AI768" s="60"/>
      <c r="AJ768" s="60"/>
    </row>
    <row r="769" spans="1:36" s="59" customFormat="1" ht="35.25">
      <c r="A769" s="193"/>
      <c r="B769" s="203"/>
      <c r="C769" s="186"/>
      <c r="D769" s="186"/>
      <c r="E769" s="186"/>
      <c r="F769" s="186"/>
      <c r="G769" s="186"/>
      <c r="H769" s="186"/>
      <c r="I769" s="186"/>
      <c r="J769" s="186"/>
      <c r="K769" s="186"/>
      <c r="L769" s="370"/>
      <c r="M769" s="370"/>
      <c r="N769" s="370"/>
      <c r="O769" s="370"/>
      <c r="P769" s="370"/>
      <c r="Q769" s="186"/>
      <c r="R769" s="186"/>
      <c r="S769" s="186"/>
      <c r="T769" s="186"/>
      <c r="U769" s="186"/>
      <c r="V769" s="186"/>
      <c r="W769" s="186"/>
      <c r="X769" s="186"/>
      <c r="Y769" s="186"/>
      <c r="Z769" s="305"/>
      <c r="AA769" s="60"/>
      <c r="AB769" s="60"/>
      <c r="AC769" s="60"/>
      <c r="AD769" s="60"/>
      <c r="AE769" s="60"/>
      <c r="AF769" s="60"/>
      <c r="AG769" s="60"/>
      <c r="AH769" s="60"/>
      <c r="AI769" s="60"/>
      <c r="AJ769" s="60"/>
    </row>
    <row r="770" spans="1:36" s="59" customFormat="1" ht="35.25">
      <c r="A770" s="193"/>
      <c r="B770" s="203"/>
      <c r="C770" s="186"/>
      <c r="D770" s="186"/>
      <c r="E770" s="186"/>
      <c r="F770" s="186"/>
      <c r="G770" s="186"/>
      <c r="H770" s="186"/>
      <c r="I770" s="186"/>
      <c r="J770" s="186"/>
      <c r="K770" s="186"/>
      <c r="L770" s="370"/>
      <c r="M770" s="370"/>
      <c r="N770" s="370"/>
      <c r="O770" s="370"/>
      <c r="P770" s="370"/>
      <c r="Q770" s="186"/>
      <c r="R770" s="186"/>
      <c r="S770" s="186"/>
      <c r="T770" s="186"/>
      <c r="U770" s="186"/>
      <c r="V770" s="186"/>
      <c r="W770" s="186"/>
      <c r="X770" s="186"/>
      <c r="Y770" s="186"/>
      <c r="Z770" s="305"/>
      <c r="AA770" s="60"/>
      <c r="AB770" s="60"/>
      <c r="AC770" s="60"/>
      <c r="AD770" s="60"/>
      <c r="AE770" s="60"/>
      <c r="AF770" s="60"/>
      <c r="AG770" s="60"/>
      <c r="AH770" s="60"/>
      <c r="AI770" s="60"/>
      <c r="AJ770" s="60"/>
    </row>
    <row r="771" spans="1:36" s="59" customFormat="1" ht="35.25">
      <c r="A771" s="193"/>
      <c r="B771" s="203"/>
      <c r="C771" s="186"/>
      <c r="D771" s="186"/>
      <c r="E771" s="186"/>
      <c r="F771" s="186"/>
      <c r="G771" s="186"/>
      <c r="H771" s="186"/>
      <c r="I771" s="186"/>
      <c r="J771" s="186"/>
      <c r="K771" s="186"/>
      <c r="L771" s="370"/>
      <c r="M771" s="370"/>
      <c r="N771" s="370"/>
      <c r="O771" s="370"/>
      <c r="P771" s="370"/>
      <c r="Q771" s="186"/>
      <c r="R771" s="186"/>
      <c r="S771" s="186"/>
      <c r="T771" s="186"/>
      <c r="U771" s="186"/>
      <c r="V771" s="186"/>
      <c r="W771" s="186"/>
      <c r="X771" s="186"/>
      <c r="Y771" s="186"/>
      <c r="Z771" s="305"/>
      <c r="AA771" s="60"/>
      <c r="AB771" s="60"/>
      <c r="AC771" s="60"/>
      <c r="AD771" s="60"/>
      <c r="AE771" s="60"/>
      <c r="AF771" s="60"/>
      <c r="AG771" s="60"/>
      <c r="AH771" s="60"/>
      <c r="AI771" s="60"/>
      <c r="AJ771" s="60"/>
    </row>
    <row r="772" spans="1:36" s="59" customFormat="1" ht="35.25">
      <c r="A772" s="193"/>
      <c r="B772" s="203"/>
      <c r="C772" s="186"/>
      <c r="D772" s="186"/>
      <c r="E772" s="186"/>
      <c r="F772" s="186"/>
      <c r="G772" s="186"/>
      <c r="H772" s="186"/>
      <c r="I772" s="186"/>
      <c r="J772" s="186"/>
      <c r="K772" s="186"/>
      <c r="L772" s="370"/>
      <c r="M772" s="370"/>
      <c r="N772" s="370"/>
      <c r="O772" s="370"/>
      <c r="P772" s="370"/>
      <c r="Q772" s="186"/>
      <c r="R772" s="186"/>
      <c r="S772" s="186"/>
      <c r="T772" s="186"/>
      <c r="U772" s="186"/>
      <c r="V772" s="186"/>
      <c r="W772" s="186"/>
      <c r="X772" s="186"/>
      <c r="Y772" s="186"/>
      <c r="Z772" s="305"/>
      <c r="AA772" s="60"/>
      <c r="AB772" s="60"/>
      <c r="AC772" s="60"/>
      <c r="AD772" s="60"/>
      <c r="AE772" s="60"/>
      <c r="AF772" s="60"/>
      <c r="AG772" s="60"/>
      <c r="AH772" s="60"/>
      <c r="AI772" s="60"/>
      <c r="AJ772" s="60"/>
    </row>
    <row r="773" spans="1:36" s="59" customFormat="1" ht="35.25">
      <c r="A773" s="193"/>
      <c r="B773" s="203"/>
      <c r="C773" s="186"/>
      <c r="D773" s="186"/>
      <c r="E773" s="186"/>
      <c r="F773" s="186"/>
      <c r="G773" s="186"/>
      <c r="H773" s="186"/>
      <c r="I773" s="186"/>
      <c r="J773" s="186"/>
      <c r="K773" s="186"/>
      <c r="L773" s="370"/>
      <c r="M773" s="370"/>
      <c r="N773" s="370"/>
      <c r="O773" s="370"/>
      <c r="P773" s="370"/>
      <c r="Q773" s="186"/>
      <c r="R773" s="186"/>
      <c r="S773" s="186"/>
      <c r="T773" s="186"/>
      <c r="U773" s="186"/>
      <c r="V773" s="186"/>
      <c r="W773" s="186"/>
      <c r="X773" s="186"/>
      <c r="Y773" s="186"/>
      <c r="Z773" s="305"/>
      <c r="AA773" s="60"/>
      <c r="AB773" s="60"/>
      <c r="AC773" s="60"/>
      <c r="AD773" s="60"/>
      <c r="AE773" s="60"/>
      <c r="AF773" s="60"/>
      <c r="AG773" s="60"/>
      <c r="AH773" s="60"/>
      <c r="AI773" s="60"/>
      <c r="AJ773" s="60"/>
    </row>
    <row r="774" spans="1:36" s="59" customFormat="1" ht="35.25">
      <c r="A774" s="193"/>
      <c r="B774" s="203"/>
      <c r="C774" s="186"/>
      <c r="D774" s="186"/>
      <c r="E774" s="186"/>
      <c r="F774" s="186"/>
      <c r="G774" s="186"/>
      <c r="H774" s="186"/>
      <c r="I774" s="186"/>
      <c r="J774" s="186"/>
      <c r="K774" s="186"/>
      <c r="L774" s="370"/>
      <c r="M774" s="370"/>
      <c r="N774" s="370"/>
      <c r="O774" s="370"/>
      <c r="P774" s="370"/>
      <c r="Q774" s="186"/>
      <c r="R774" s="186"/>
      <c r="S774" s="186"/>
      <c r="T774" s="186"/>
      <c r="U774" s="186"/>
      <c r="V774" s="186"/>
      <c r="W774" s="186"/>
      <c r="X774" s="186"/>
      <c r="Y774" s="186"/>
      <c r="Z774" s="305"/>
      <c r="AA774" s="60"/>
      <c r="AB774" s="60"/>
      <c r="AC774" s="60"/>
      <c r="AD774" s="60"/>
      <c r="AE774" s="60"/>
      <c r="AF774" s="60"/>
      <c r="AG774" s="60"/>
      <c r="AH774" s="60"/>
      <c r="AI774" s="60"/>
      <c r="AJ774" s="60"/>
    </row>
    <row r="775" spans="1:36" s="59" customFormat="1" ht="35.25">
      <c r="A775" s="193"/>
      <c r="B775" s="203"/>
      <c r="C775" s="186"/>
      <c r="D775" s="186"/>
      <c r="E775" s="186"/>
      <c r="F775" s="186"/>
      <c r="G775" s="186"/>
      <c r="H775" s="186"/>
      <c r="I775" s="186"/>
      <c r="J775" s="186"/>
      <c r="K775" s="186"/>
      <c r="L775" s="370"/>
      <c r="M775" s="370"/>
      <c r="N775" s="370"/>
      <c r="O775" s="370"/>
      <c r="P775" s="370"/>
      <c r="Q775" s="186"/>
      <c r="R775" s="186"/>
      <c r="S775" s="186"/>
      <c r="T775" s="186"/>
      <c r="U775" s="186"/>
      <c r="V775" s="186"/>
      <c r="W775" s="186"/>
      <c r="X775" s="186"/>
      <c r="Y775" s="186"/>
      <c r="Z775" s="305"/>
      <c r="AA775" s="60"/>
      <c r="AB775" s="60"/>
      <c r="AC775" s="60"/>
      <c r="AD775" s="60"/>
      <c r="AE775" s="60"/>
      <c r="AF775" s="60"/>
      <c r="AG775" s="60"/>
      <c r="AH775" s="60"/>
      <c r="AI775" s="60"/>
      <c r="AJ775" s="60"/>
    </row>
    <row r="776" spans="1:36" s="59" customFormat="1" ht="35.25">
      <c r="A776" s="193"/>
      <c r="B776" s="203"/>
      <c r="C776" s="186"/>
      <c r="D776" s="186"/>
      <c r="E776" s="186"/>
      <c r="F776" s="186"/>
      <c r="G776" s="186"/>
      <c r="H776" s="186"/>
      <c r="I776" s="186"/>
      <c r="J776" s="186"/>
      <c r="K776" s="186"/>
      <c r="L776" s="370"/>
      <c r="M776" s="370"/>
      <c r="N776" s="370"/>
      <c r="O776" s="370"/>
      <c r="P776" s="370"/>
      <c r="Q776" s="186"/>
      <c r="R776" s="186"/>
      <c r="S776" s="186"/>
      <c r="T776" s="186"/>
      <c r="U776" s="186"/>
      <c r="V776" s="186"/>
      <c r="W776" s="186"/>
      <c r="X776" s="186"/>
      <c r="Y776" s="186"/>
      <c r="Z776" s="305"/>
      <c r="AA776" s="60"/>
      <c r="AB776" s="60"/>
      <c r="AC776" s="60"/>
      <c r="AD776" s="60"/>
      <c r="AE776" s="60"/>
      <c r="AF776" s="60"/>
      <c r="AG776" s="60"/>
      <c r="AH776" s="60"/>
      <c r="AI776" s="60"/>
      <c r="AJ776" s="60"/>
    </row>
    <row r="777" spans="1:36" s="59" customFormat="1" ht="35.25">
      <c r="A777" s="193"/>
      <c r="B777" s="203"/>
      <c r="C777" s="186"/>
      <c r="D777" s="186"/>
      <c r="E777" s="186"/>
      <c r="F777" s="186"/>
      <c r="G777" s="186"/>
      <c r="H777" s="186"/>
      <c r="I777" s="186"/>
      <c r="J777" s="186"/>
      <c r="K777" s="186"/>
      <c r="L777" s="370"/>
      <c r="M777" s="370"/>
      <c r="N777" s="370"/>
      <c r="O777" s="370"/>
      <c r="P777" s="370"/>
      <c r="Q777" s="186"/>
      <c r="R777" s="186"/>
      <c r="S777" s="186"/>
      <c r="T777" s="186"/>
      <c r="U777" s="186"/>
      <c r="V777" s="186"/>
      <c r="W777" s="186"/>
      <c r="X777" s="186"/>
      <c r="Y777" s="186"/>
      <c r="Z777" s="305"/>
      <c r="AA777" s="60"/>
      <c r="AB777" s="60"/>
      <c r="AC777" s="60"/>
      <c r="AD777" s="60"/>
      <c r="AE777" s="60"/>
      <c r="AF777" s="60"/>
      <c r="AG777" s="60"/>
      <c r="AH777" s="60"/>
      <c r="AI777" s="60"/>
      <c r="AJ777" s="60"/>
    </row>
    <row r="778" spans="1:36" s="59" customFormat="1" ht="35.25">
      <c r="A778" s="193"/>
      <c r="B778" s="203"/>
      <c r="C778" s="186"/>
      <c r="D778" s="186"/>
      <c r="E778" s="186"/>
      <c r="F778" s="186"/>
      <c r="G778" s="186"/>
      <c r="H778" s="186"/>
      <c r="I778" s="186"/>
      <c r="J778" s="186"/>
      <c r="K778" s="186"/>
      <c r="L778" s="370"/>
      <c r="M778" s="370"/>
      <c r="N778" s="370"/>
      <c r="O778" s="370"/>
      <c r="P778" s="370"/>
      <c r="Q778" s="186"/>
      <c r="R778" s="186"/>
      <c r="S778" s="186"/>
      <c r="T778" s="186"/>
      <c r="U778" s="186"/>
      <c r="V778" s="186"/>
      <c r="W778" s="186"/>
      <c r="X778" s="186"/>
      <c r="Y778" s="186"/>
      <c r="Z778" s="305"/>
      <c r="AA778" s="60"/>
      <c r="AB778" s="60"/>
      <c r="AC778" s="60"/>
      <c r="AD778" s="60"/>
      <c r="AE778" s="60"/>
      <c r="AF778" s="60"/>
      <c r="AG778" s="60"/>
      <c r="AH778" s="60"/>
      <c r="AI778" s="60"/>
      <c r="AJ778" s="60"/>
    </row>
    <row r="779" spans="1:36" s="59" customFormat="1" ht="35.25">
      <c r="A779" s="193"/>
      <c r="B779" s="203"/>
      <c r="C779" s="186"/>
      <c r="D779" s="186"/>
      <c r="E779" s="186"/>
      <c r="F779" s="186"/>
      <c r="G779" s="186"/>
      <c r="H779" s="186"/>
      <c r="I779" s="186"/>
      <c r="J779" s="186"/>
      <c r="K779" s="186"/>
      <c r="L779" s="370"/>
      <c r="M779" s="370"/>
      <c r="N779" s="370"/>
      <c r="O779" s="370"/>
      <c r="P779" s="370"/>
      <c r="Q779" s="186"/>
      <c r="R779" s="186"/>
      <c r="S779" s="186"/>
      <c r="T779" s="186"/>
      <c r="U779" s="186"/>
      <c r="V779" s="186"/>
      <c r="W779" s="186"/>
      <c r="X779" s="186"/>
      <c r="Y779" s="186"/>
      <c r="Z779" s="305"/>
      <c r="AA779" s="60"/>
      <c r="AB779" s="60"/>
      <c r="AC779" s="60"/>
      <c r="AD779" s="60"/>
      <c r="AE779" s="60"/>
      <c r="AF779" s="60"/>
      <c r="AG779" s="60"/>
      <c r="AH779" s="60"/>
      <c r="AI779" s="60"/>
      <c r="AJ779" s="60"/>
    </row>
    <row r="780" spans="1:36" s="59" customFormat="1" ht="35.25">
      <c r="A780" s="193"/>
      <c r="B780" s="203"/>
      <c r="C780" s="186"/>
      <c r="D780" s="186"/>
      <c r="E780" s="186"/>
      <c r="F780" s="186"/>
      <c r="G780" s="186"/>
      <c r="H780" s="186"/>
      <c r="I780" s="186"/>
      <c r="J780" s="186"/>
      <c r="K780" s="186"/>
      <c r="L780" s="370"/>
      <c r="M780" s="370"/>
      <c r="N780" s="370"/>
      <c r="O780" s="370"/>
      <c r="P780" s="370"/>
      <c r="Q780" s="186"/>
      <c r="R780" s="186"/>
      <c r="S780" s="186"/>
      <c r="T780" s="186"/>
      <c r="U780" s="186"/>
      <c r="V780" s="186"/>
      <c r="W780" s="186"/>
      <c r="X780" s="186"/>
      <c r="Y780" s="186"/>
      <c r="Z780" s="305"/>
      <c r="AA780" s="60"/>
      <c r="AB780" s="60"/>
      <c r="AC780" s="60"/>
      <c r="AD780" s="60"/>
      <c r="AE780" s="60"/>
      <c r="AF780" s="60"/>
      <c r="AG780" s="60"/>
      <c r="AH780" s="60"/>
      <c r="AI780" s="60"/>
      <c r="AJ780" s="60"/>
    </row>
    <row r="781" spans="1:36" s="59" customFormat="1" ht="35.25">
      <c r="A781" s="193"/>
      <c r="B781" s="203"/>
      <c r="C781" s="186"/>
      <c r="D781" s="186"/>
      <c r="E781" s="186"/>
      <c r="F781" s="186"/>
      <c r="G781" s="186"/>
      <c r="H781" s="186"/>
      <c r="I781" s="186"/>
      <c r="J781" s="186"/>
      <c r="K781" s="186"/>
      <c r="L781" s="370"/>
      <c r="M781" s="370"/>
      <c r="N781" s="370"/>
      <c r="O781" s="370"/>
      <c r="P781" s="370"/>
      <c r="Q781" s="186"/>
      <c r="R781" s="186"/>
      <c r="S781" s="186"/>
      <c r="T781" s="186"/>
      <c r="U781" s="186"/>
      <c r="V781" s="186"/>
      <c r="W781" s="186"/>
      <c r="X781" s="186"/>
      <c r="Y781" s="186"/>
      <c r="Z781" s="305"/>
      <c r="AA781" s="60"/>
      <c r="AB781" s="60"/>
      <c r="AC781" s="60"/>
      <c r="AD781" s="60"/>
      <c r="AE781" s="60"/>
      <c r="AF781" s="60"/>
      <c r="AG781" s="60"/>
      <c r="AH781" s="60"/>
      <c r="AI781" s="60"/>
      <c r="AJ781" s="60"/>
    </row>
    <row r="782" spans="1:36" s="59" customFormat="1" ht="35.25">
      <c r="A782" s="193"/>
      <c r="B782" s="203"/>
      <c r="C782" s="186"/>
      <c r="D782" s="186"/>
      <c r="E782" s="186"/>
      <c r="F782" s="186"/>
      <c r="G782" s="186"/>
      <c r="H782" s="186"/>
      <c r="I782" s="186"/>
      <c r="J782" s="186"/>
      <c r="K782" s="186"/>
      <c r="L782" s="370"/>
      <c r="M782" s="370"/>
      <c r="N782" s="370"/>
      <c r="O782" s="370"/>
      <c r="P782" s="370"/>
      <c r="Q782" s="186"/>
      <c r="R782" s="186"/>
      <c r="S782" s="186"/>
      <c r="T782" s="186"/>
      <c r="U782" s="186"/>
      <c r="V782" s="186"/>
      <c r="W782" s="186"/>
      <c r="X782" s="186"/>
      <c r="Y782" s="186"/>
      <c r="Z782" s="305"/>
      <c r="AA782" s="60"/>
      <c r="AB782" s="60"/>
      <c r="AC782" s="60"/>
      <c r="AD782" s="60"/>
      <c r="AE782" s="60"/>
      <c r="AF782" s="60"/>
      <c r="AG782" s="60"/>
      <c r="AH782" s="60"/>
      <c r="AI782" s="60"/>
      <c r="AJ782" s="60"/>
    </row>
    <row r="783" spans="1:36" s="59" customFormat="1" ht="35.25">
      <c r="A783" s="193"/>
      <c r="B783" s="203"/>
      <c r="C783" s="186"/>
      <c r="D783" s="186"/>
      <c r="E783" s="186"/>
      <c r="F783" s="186"/>
      <c r="G783" s="186"/>
      <c r="H783" s="186"/>
      <c r="I783" s="186"/>
      <c r="J783" s="186"/>
      <c r="K783" s="186"/>
      <c r="L783" s="370"/>
      <c r="M783" s="370"/>
      <c r="N783" s="370"/>
      <c r="O783" s="370"/>
      <c r="P783" s="370"/>
      <c r="Q783" s="186"/>
      <c r="R783" s="186"/>
      <c r="S783" s="186"/>
      <c r="T783" s="186"/>
      <c r="U783" s="186"/>
      <c r="V783" s="186"/>
      <c r="W783" s="186"/>
      <c r="X783" s="186"/>
      <c r="Y783" s="186"/>
      <c r="Z783" s="305"/>
      <c r="AA783" s="60"/>
      <c r="AB783" s="60"/>
      <c r="AC783" s="60"/>
      <c r="AD783" s="60"/>
      <c r="AE783" s="60"/>
      <c r="AF783" s="60"/>
      <c r="AG783" s="60"/>
      <c r="AH783" s="60"/>
      <c r="AI783" s="60"/>
      <c r="AJ783" s="60"/>
    </row>
    <row r="784" spans="1:36" s="59" customFormat="1" ht="35.25">
      <c r="A784" s="193"/>
      <c r="B784" s="203"/>
      <c r="C784" s="186"/>
      <c r="D784" s="186"/>
      <c r="E784" s="186"/>
      <c r="F784" s="186"/>
      <c r="G784" s="186"/>
      <c r="H784" s="186"/>
      <c r="I784" s="186"/>
      <c r="J784" s="186"/>
      <c r="K784" s="186"/>
      <c r="L784" s="370"/>
      <c r="M784" s="370"/>
      <c r="N784" s="370"/>
      <c r="O784" s="370"/>
      <c r="P784" s="370"/>
      <c r="Q784" s="186"/>
      <c r="R784" s="186"/>
      <c r="S784" s="186"/>
      <c r="T784" s="186"/>
      <c r="U784" s="186"/>
      <c r="V784" s="186"/>
      <c r="W784" s="186"/>
      <c r="X784" s="186"/>
      <c r="Y784" s="186"/>
      <c r="Z784" s="305"/>
      <c r="AA784" s="60"/>
      <c r="AB784" s="60"/>
      <c r="AC784" s="60"/>
      <c r="AD784" s="60"/>
      <c r="AE784" s="60"/>
      <c r="AF784" s="60"/>
      <c r="AG784" s="60"/>
      <c r="AH784" s="60"/>
      <c r="AI784" s="60"/>
      <c r="AJ784" s="60"/>
    </row>
    <row r="785" spans="1:36" s="59" customFormat="1" ht="35.25">
      <c r="A785" s="193"/>
      <c r="B785" s="203"/>
      <c r="C785" s="186"/>
      <c r="D785" s="186"/>
      <c r="E785" s="186"/>
      <c r="F785" s="186"/>
      <c r="G785" s="186"/>
      <c r="H785" s="186"/>
      <c r="I785" s="186"/>
      <c r="J785" s="186"/>
      <c r="K785" s="186"/>
      <c r="L785" s="370"/>
      <c r="M785" s="370"/>
      <c r="N785" s="370"/>
      <c r="O785" s="370"/>
      <c r="P785" s="370"/>
      <c r="Q785" s="186"/>
      <c r="R785" s="186"/>
      <c r="S785" s="186"/>
      <c r="T785" s="186"/>
      <c r="U785" s="186"/>
      <c r="V785" s="186"/>
      <c r="W785" s="186"/>
      <c r="X785" s="186"/>
      <c r="Y785" s="186"/>
      <c r="Z785" s="305"/>
      <c r="AA785" s="60"/>
      <c r="AB785" s="60"/>
      <c r="AC785" s="60"/>
      <c r="AD785" s="60"/>
      <c r="AE785" s="60"/>
      <c r="AF785" s="60"/>
      <c r="AG785" s="60"/>
      <c r="AH785" s="60"/>
      <c r="AI785" s="60"/>
      <c r="AJ785" s="60"/>
    </row>
    <row r="786" spans="1:36" s="59" customFormat="1" ht="35.25">
      <c r="A786" s="193"/>
      <c r="B786" s="203"/>
      <c r="C786" s="186"/>
      <c r="D786" s="186"/>
      <c r="E786" s="186"/>
      <c r="F786" s="186"/>
      <c r="G786" s="186"/>
      <c r="H786" s="186"/>
      <c r="I786" s="186"/>
      <c r="J786" s="186"/>
      <c r="K786" s="186"/>
      <c r="L786" s="370"/>
      <c r="M786" s="370"/>
      <c r="N786" s="370"/>
      <c r="O786" s="370"/>
      <c r="P786" s="370"/>
      <c r="Q786" s="186"/>
      <c r="R786" s="186"/>
      <c r="S786" s="186"/>
      <c r="T786" s="186"/>
      <c r="U786" s="186"/>
      <c r="V786" s="186"/>
      <c r="W786" s="186"/>
      <c r="X786" s="186"/>
      <c r="Y786" s="186"/>
      <c r="Z786" s="305"/>
      <c r="AA786" s="60"/>
      <c r="AB786" s="60"/>
      <c r="AC786" s="60"/>
      <c r="AD786" s="60"/>
      <c r="AE786" s="60"/>
      <c r="AF786" s="60"/>
      <c r="AG786" s="60"/>
      <c r="AH786" s="60"/>
      <c r="AI786" s="60"/>
      <c r="AJ786" s="60"/>
    </row>
    <row r="787" spans="1:36" s="59" customFormat="1" ht="35.25">
      <c r="A787" s="193"/>
      <c r="B787" s="203"/>
      <c r="C787" s="186"/>
      <c r="D787" s="186"/>
      <c r="E787" s="186"/>
      <c r="F787" s="186"/>
      <c r="G787" s="186"/>
      <c r="H787" s="186"/>
      <c r="I787" s="186"/>
      <c r="J787" s="186"/>
      <c r="K787" s="186"/>
      <c r="L787" s="370"/>
      <c r="M787" s="370"/>
      <c r="N787" s="370"/>
      <c r="O787" s="370"/>
      <c r="P787" s="370"/>
      <c r="Q787" s="186"/>
      <c r="R787" s="186"/>
      <c r="S787" s="186"/>
      <c r="T787" s="186"/>
      <c r="U787" s="186"/>
      <c r="V787" s="186"/>
      <c r="W787" s="186"/>
      <c r="X787" s="186"/>
      <c r="Y787" s="186"/>
      <c r="Z787" s="305"/>
      <c r="AA787" s="60"/>
      <c r="AB787" s="60"/>
      <c r="AC787" s="60"/>
      <c r="AD787" s="60"/>
      <c r="AE787" s="60"/>
      <c r="AF787" s="60"/>
      <c r="AG787" s="60"/>
      <c r="AH787" s="60"/>
      <c r="AI787" s="60"/>
      <c r="AJ787" s="60"/>
    </row>
    <row r="788" spans="1:36" s="59" customFormat="1" ht="35.25">
      <c r="A788" s="193"/>
      <c r="B788" s="203"/>
      <c r="C788" s="186"/>
      <c r="D788" s="186"/>
      <c r="E788" s="186"/>
      <c r="F788" s="186"/>
      <c r="G788" s="186"/>
      <c r="H788" s="186"/>
      <c r="I788" s="186"/>
      <c r="J788" s="186"/>
      <c r="K788" s="186"/>
      <c r="L788" s="370"/>
      <c r="M788" s="370"/>
      <c r="N788" s="370"/>
      <c r="O788" s="370"/>
      <c r="P788" s="370"/>
      <c r="Q788" s="186"/>
      <c r="R788" s="186"/>
      <c r="S788" s="186"/>
      <c r="T788" s="186"/>
      <c r="U788" s="186"/>
      <c r="V788" s="186"/>
      <c r="W788" s="186"/>
      <c r="X788" s="186"/>
      <c r="Y788" s="186"/>
      <c r="Z788" s="305"/>
      <c r="AA788" s="60"/>
      <c r="AB788" s="60"/>
      <c r="AC788" s="60"/>
      <c r="AD788" s="60"/>
      <c r="AE788" s="60"/>
      <c r="AF788" s="60"/>
      <c r="AG788" s="60"/>
      <c r="AH788" s="60"/>
      <c r="AI788" s="60"/>
      <c r="AJ788" s="60"/>
    </row>
    <row r="789" spans="1:36" s="59" customFormat="1" ht="35.25">
      <c r="A789" s="193"/>
      <c r="B789" s="203"/>
      <c r="C789" s="186"/>
      <c r="D789" s="186"/>
      <c r="E789" s="186"/>
      <c r="F789" s="186"/>
      <c r="G789" s="186"/>
      <c r="H789" s="186"/>
      <c r="I789" s="186"/>
      <c r="J789" s="186"/>
      <c r="K789" s="186"/>
      <c r="L789" s="370"/>
      <c r="M789" s="370"/>
      <c r="N789" s="370"/>
      <c r="O789" s="370"/>
      <c r="P789" s="370"/>
      <c r="Q789" s="186"/>
      <c r="R789" s="186"/>
      <c r="S789" s="186"/>
      <c r="T789" s="186"/>
      <c r="U789" s="186"/>
      <c r="V789" s="186"/>
      <c r="W789" s="186"/>
      <c r="X789" s="186"/>
      <c r="Y789" s="186"/>
      <c r="Z789" s="305"/>
      <c r="AA789" s="60"/>
      <c r="AB789" s="60"/>
      <c r="AC789" s="60"/>
      <c r="AD789" s="60"/>
      <c r="AE789" s="60"/>
      <c r="AF789" s="60"/>
      <c r="AG789" s="60"/>
      <c r="AH789" s="60"/>
      <c r="AI789" s="60"/>
      <c r="AJ789" s="60"/>
    </row>
    <row r="790" spans="1:36" s="59" customFormat="1" ht="35.25">
      <c r="A790" s="193"/>
      <c r="B790" s="203"/>
      <c r="C790" s="186"/>
      <c r="D790" s="186"/>
      <c r="E790" s="186"/>
      <c r="F790" s="186"/>
      <c r="G790" s="186"/>
      <c r="H790" s="186"/>
      <c r="I790" s="186"/>
      <c r="J790" s="186"/>
      <c r="K790" s="186"/>
      <c r="L790" s="370"/>
      <c r="M790" s="370"/>
      <c r="N790" s="370"/>
      <c r="O790" s="370"/>
      <c r="P790" s="370"/>
      <c r="Q790" s="186"/>
      <c r="R790" s="186"/>
      <c r="S790" s="186"/>
      <c r="T790" s="186"/>
      <c r="U790" s="186"/>
      <c r="V790" s="186"/>
      <c r="W790" s="186"/>
      <c r="X790" s="186"/>
      <c r="Y790" s="186"/>
      <c r="Z790" s="305"/>
      <c r="AA790" s="60"/>
      <c r="AB790" s="60"/>
      <c r="AC790" s="60"/>
      <c r="AD790" s="60"/>
      <c r="AE790" s="60"/>
      <c r="AF790" s="60"/>
      <c r="AG790" s="60"/>
      <c r="AH790" s="60"/>
      <c r="AI790" s="60"/>
      <c r="AJ790" s="60"/>
    </row>
    <row r="791" spans="1:36" s="59" customFormat="1" ht="35.25">
      <c r="A791" s="193"/>
      <c r="B791" s="203"/>
      <c r="C791" s="186"/>
      <c r="D791" s="186"/>
      <c r="E791" s="186"/>
      <c r="F791" s="186"/>
      <c r="G791" s="186"/>
      <c r="H791" s="186"/>
      <c r="I791" s="186"/>
      <c r="J791" s="186"/>
      <c r="K791" s="186"/>
      <c r="L791" s="370"/>
      <c r="M791" s="370"/>
      <c r="N791" s="370"/>
      <c r="O791" s="370"/>
      <c r="P791" s="370"/>
      <c r="Q791" s="186"/>
      <c r="R791" s="186"/>
      <c r="S791" s="186"/>
      <c r="T791" s="186"/>
      <c r="U791" s="186"/>
      <c r="V791" s="186"/>
      <c r="W791" s="186"/>
      <c r="X791" s="186"/>
      <c r="Y791" s="186"/>
      <c r="Z791" s="305"/>
      <c r="AA791" s="60"/>
      <c r="AB791" s="60"/>
      <c r="AC791" s="60"/>
      <c r="AD791" s="60"/>
      <c r="AE791" s="60"/>
      <c r="AF791" s="60"/>
      <c r="AG791" s="60"/>
      <c r="AH791" s="60"/>
      <c r="AI791" s="60"/>
      <c r="AJ791" s="60"/>
    </row>
    <row r="792" spans="1:36" s="59" customFormat="1" ht="35.25">
      <c r="A792" s="193"/>
      <c r="B792" s="203"/>
      <c r="C792" s="186"/>
      <c r="D792" s="186"/>
      <c r="E792" s="186"/>
      <c r="F792" s="186"/>
      <c r="G792" s="186"/>
      <c r="H792" s="186"/>
      <c r="I792" s="186"/>
      <c r="J792" s="186"/>
      <c r="K792" s="186"/>
      <c r="L792" s="370"/>
      <c r="M792" s="370"/>
      <c r="N792" s="370"/>
      <c r="O792" s="370"/>
      <c r="P792" s="370"/>
      <c r="Q792" s="186"/>
      <c r="R792" s="186"/>
      <c r="S792" s="186"/>
      <c r="T792" s="186"/>
      <c r="U792" s="186"/>
      <c r="V792" s="186"/>
      <c r="W792" s="186"/>
      <c r="X792" s="186"/>
      <c r="Y792" s="186"/>
      <c r="Z792" s="305"/>
      <c r="AA792" s="60"/>
      <c r="AB792" s="60"/>
      <c r="AC792" s="60"/>
      <c r="AD792" s="60"/>
      <c r="AE792" s="60"/>
      <c r="AF792" s="60"/>
      <c r="AG792" s="60"/>
      <c r="AH792" s="60"/>
      <c r="AI792" s="60"/>
      <c r="AJ792" s="60"/>
    </row>
    <row r="793" spans="1:36" s="59" customFormat="1" ht="35.25">
      <c r="A793" s="193"/>
      <c r="B793" s="203"/>
      <c r="C793" s="186"/>
      <c r="D793" s="186"/>
      <c r="E793" s="186"/>
      <c r="F793" s="186"/>
      <c r="G793" s="186"/>
      <c r="H793" s="186"/>
      <c r="I793" s="186"/>
      <c r="J793" s="186"/>
      <c r="K793" s="186"/>
      <c r="L793" s="370"/>
      <c r="M793" s="370"/>
      <c r="N793" s="370"/>
      <c r="O793" s="370"/>
      <c r="P793" s="370"/>
      <c r="Q793" s="186"/>
      <c r="R793" s="186"/>
      <c r="S793" s="186"/>
      <c r="T793" s="186"/>
      <c r="U793" s="186"/>
      <c r="V793" s="186"/>
      <c r="W793" s="186"/>
      <c r="X793" s="186"/>
      <c r="Y793" s="186"/>
      <c r="Z793" s="305"/>
      <c r="AA793" s="60"/>
      <c r="AB793" s="60"/>
      <c r="AC793" s="60"/>
      <c r="AD793" s="60"/>
      <c r="AE793" s="60"/>
      <c r="AF793" s="60"/>
      <c r="AG793" s="60"/>
      <c r="AH793" s="60"/>
      <c r="AI793" s="60"/>
      <c r="AJ793" s="60"/>
    </row>
    <row r="794" spans="1:36" s="59" customFormat="1" ht="35.25">
      <c r="A794" s="193"/>
      <c r="B794" s="203"/>
      <c r="C794" s="186"/>
      <c r="D794" s="186"/>
      <c r="E794" s="186"/>
      <c r="F794" s="186"/>
      <c r="G794" s="186"/>
      <c r="H794" s="186"/>
      <c r="I794" s="186"/>
      <c r="J794" s="186"/>
      <c r="K794" s="186"/>
      <c r="L794" s="370"/>
      <c r="M794" s="370"/>
      <c r="N794" s="370"/>
      <c r="O794" s="370"/>
      <c r="P794" s="370"/>
      <c r="Q794" s="186"/>
      <c r="R794" s="186"/>
      <c r="S794" s="186"/>
      <c r="T794" s="186"/>
      <c r="U794" s="186"/>
      <c r="V794" s="186"/>
      <c r="W794" s="186"/>
      <c r="X794" s="186"/>
      <c r="Y794" s="186"/>
      <c r="Z794" s="305"/>
      <c r="AA794" s="60"/>
      <c r="AB794" s="60"/>
      <c r="AC794" s="60"/>
      <c r="AD794" s="60"/>
      <c r="AE794" s="60"/>
      <c r="AF794" s="60"/>
      <c r="AG794" s="60"/>
      <c r="AH794" s="60"/>
      <c r="AI794" s="60"/>
      <c r="AJ794" s="60"/>
    </row>
    <row r="795" spans="1:36" s="59" customFormat="1" ht="35.25">
      <c r="A795" s="193"/>
      <c r="B795" s="203"/>
      <c r="C795" s="186"/>
      <c r="D795" s="186"/>
      <c r="E795" s="186"/>
      <c r="F795" s="186"/>
      <c r="G795" s="186"/>
      <c r="H795" s="186"/>
      <c r="I795" s="186"/>
      <c r="J795" s="186"/>
      <c r="K795" s="186"/>
      <c r="L795" s="370"/>
      <c r="M795" s="370"/>
      <c r="N795" s="370"/>
      <c r="O795" s="370"/>
      <c r="P795" s="370"/>
      <c r="Q795" s="186"/>
      <c r="R795" s="186"/>
      <c r="S795" s="186"/>
      <c r="T795" s="186"/>
      <c r="U795" s="186"/>
      <c r="V795" s="186"/>
      <c r="W795" s="186"/>
      <c r="X795" s="186"/>
      <c r="Y795" s="186"/>
      <c r="Z795" s="305"/>
      <c r="AA795" s="60"/>
      <c r="AB795" s="60"/>
      <c r="AC795" s="60"/>
      <c r="AD795" s="60"/>
      <c r="AE795" s="60"/>
      <c r="AF795" s="60"/>
      <c r="AG795" s="60"/>
      <c r="AH795" s="60"/>
      <c r="AI795" s="60"/>
      <c r="AJ795" s="60"/>
    </row>
    <row r="796" spans="1:36" s="59" customFormat="1" ht="35.25">
      <c r="A796" s="193"/>
      <c r="B796" s="203"/>
      <c r="C796" s="186"/>
      <c r="D796" s="186"/>
      <c r="E796" s="186"/>
      <c r="F796" s="186"/>
      <c r="G796" s="186"/>
      <c r="H796" s="186"/>
      <c r="I796" s="186"/>
      <c r="J796" s="186"/>
      <c r="K796" s="186"/>
      <c r="L796" s="370"/>
      <c r="M796" s="370"/>
      <c r="N796" s="370"/>
      <c r="O796" s="370"/>
      <c r="P796" s="370"/>
      <c r="Q796" s="186"/>
      <c r="R796" s="186"/>
      <c r="S796" s="186"/>
      <c r="T796" s="186"/>
      <c r="U796" s="186"/>
      <c r="V796" s="186"/>
      <c r="W796" s="186"/>
      <c r="X796" s="186"/>
      <c r="Y796" s="186"/>
      <c r="Z796" s="305"/>
      <c r="AA796" s="60"/>
      <c r="AB796" s="60"/>
      <c r="AC796" s="60"/>
      <c r="AD796" s="60"/>
      <c r="AE796" s="60"/>
      <c r="AF796" s="60"/>
      <c r="AG796" s="60"/>
      <c r="AH796" s="60"/>
      <c r="AI796" s="60"/>
      <c r="AJ796" s="60"/>
    </row>
    <row r="797" spans="1:36" s="59" customFormat="1" ht="35.25">
      <c r="A797" s="193"/>
      <c r="B797" s="203"/>
      <c r="C797" s="186"/>
      <c r="D797" s="186"/>
      <c r="E797" s="186"/>
      <c r="F797" s="186"/>
      <c r="G797" s="186"/>
      <c r="H797" s="186"/>
      <c r="I797" s="186"/>
      <c r="J797" s="186"/>
      <c r="K797" s="186"/>
      <c r="L797" s="370"/>
      <c r="M797" s="370"/>
      <c r="N797" s="370"/>
      <c r="O797" s="370"/>
      <c r="P797" s="370"/>
      <c r="Q797" s="186"/>
      <c r="R797" s="186"/>
      <c r="S797" s="186"/>
      <c r="T797" s="186"/>
      <c r="U797" s="186"/>
      <c r="V797" s="186"/>
      <c r="W797" s="186"/>
      <c r="X797" s="186"/>
      <c r="Y797" s="186"/>
      <c r="Z797" s="305"/>
      <c r="AA797" s="60"/>
      <c r="AB797" s="60"/>
      <c r="AC797" s="60"/>
      <c r="AD797" s="60"/>
      <c r="AE797" s="60"/>
      <c r="AF797" s="60"/>
      <c r="AG797" s="60"/>
      <c r="AH797" s="60"/>
      <c r="AI797" s="60"/>
      <c r="AJ797" s="60"/>
    </row>
    <row r="798" spans="1:36" s="59" customFormat="1" ht="35.25">
      <c r="A798" s="193"/>
      <c r="B798" s="203"/>
      <c r="C798" s="186"/>
      <c r="D798" s="186"/>
      <c r="E798" s="186"/>
      <c r="F798" s="186"/>
      <c r="G798" s="186"/>
      <c r="H798" s="186"/>
      <c r="I798" s="186"/>
      <c r="J798" s="186"/>
      <c r="K798" s="186"/>
      <c r="L798" s="370"/>
      <c r="M798" s="370"/>
      <c r="N798" s="370"/>
      <c r="O798" s="370"/>
      <c r="P798" s="370"/>
      <c r="Q798" s="186"/>
      <c r="R798" s="186"/>
      <c r="S798" s="186"/>
      <c r="T798" s="186"/>
      <c r="U798" s="186"/>
      <c r="V798" s="186"/>
      <c r="W798" s="186"/>
      <c r="X798" s="186"/>
      <c r="Y798" s="186"/>
      <c r="Z798" s="305"/>
      <c r="AA798" s="60"/>
      <c r="AB798" s="60"/>
      <c r="AC798" s="60"/>
      <c r="AD798" s="60"/>
      <c r="AE798" s="60"/>
      <c r="AF798" s="60"/>
      <c r="AG798" s="60"/>
      <c r="AH798" s="60"/>
      <c r="AI798" s="60"/>
      <c r="AJ798" s="60"/>
    </row>
    <row r="799" spans="1:36" s="59" customFormat="1" ht="35.25">
      <c r="A799" s="193"/>
      <c r="B799" s="203"/>
      <c r="C799" s="186"/>
      <c r="D799" s="186"/>
      <c r="E799" s="186"/>
      <c r="F799" s="186"/>
      <c r="G799" s="186"/>
      <c r="H799" s="186"/>
      <c r="I799" s="186"/>
      <c r="J799" s="186"/>
      <c r="K799" s="186"/>
      <c r="L799" s="370"/>
      <c r="M799" s="370"/>
      <c r="N799" s="370"/>
      <c r="O799" s="370"/>
      <c r="P799" s="370"/>
      <c r="Q799" s="186"/>
      <c r="R799" s="186"/>
      <c r="S799" s="186"/>
      <c r="T799" s="186"/>
      <c r="U799" s="186"/>
      <c r="V799" s="186"/>
      <c r="W799" s="186"/>
      <c r="X799" s="186"/>
      <c r="Y799" s="186"/>
      <c r="Z799" s="305"/>
      <c r="AA799" s="60"/>
      <c r="AB799" s="60"/>
      <c r="AC799" s="60"/>
      <c r="AD799" s="60"/>
      <c r="AE799" s="60"/>
      <c r="AF799" s="60"/>
      <c r="AG799" s="60"/>
      <c r="AH799" s="60"/>
      <c r="AI799" s="60"/>
      <c r="AJ799" s="60"/>
    </row>
    <row r="800" spans="1:36" s="59" customFormat="1" ht="35.25">
      <c r="A800" s="193"/>
      <c r="B800" s="203"/>
      <c r="C800" s="186"/>
      <c r="D800" s="186"/>
      <c r="E800" s="186"/>
      <c r="F800" s="186"/>
      <c r="G800" s="186"/>
      <c r="H800" s="186"/>
      <c r="I800" s="186"/>
      <c r="J800" s="186"/>
      <c r="K800" s="186"/>
      <c r="L800" s="370"/>
      <c r="M800" s="370"/>
      <c r="N800" s="370"/>
      <c r="O800" s="370"/>
      <c r="P800" s="370"/>
      <c r="Q800" s="186"/>
      <c r="R800" s="186"/>
      <c r="S800" s="186"/>
      <c r="T800" s="186"/>
      <c r="U800" s="186"/>
      <c r="V800" s="186"/>
      <c r="W800" s="186"/>
      <c r="X800" s="186"/>
      <c r="Y800" s="186"/>
      <c r="Z800" s="305"/>
      <c r="AA800" s="60"/>
      <c r="AB800" s="60"/>
      <c r="AC800" s="60"/>
      <c r="AD800" s="60"/>
      <c r="AE800" s="60"/>
      <c r="AF800" s="60"/>
      <c r="AG800" s="60"/>
      <c r="AH800" s="60"/>
      <c r="AI800" s="60"/>
      <c r="AJ800" s="60"/>
    </row>
    <row r="801" spans="1:36" s="59" customFormat="1" ht="35.25">
      <c r="A801" s="193"/>
      <c r="B801" s="203"/>
      <c r="C801" s="186"/>
      <c r="D801" s="186"/>
      <c r="E801" s="186"/>
      <c r="F801" s="186"/>
      <c r="G801" s="186"/>
      <c r="H801" s="186"/>
      <c r="I801" s="186"/>
      <c r="J801" s="186"/>
      <c r="K801" s="186"/>
      <c r="L801" s="370"/>
      <c r="M801" s="370"/>
      <c r="N801" s="370"/>
      <c r="O801" s="370"/>
      <c r="P801" s="370"/>
      <c r="Q801" s="186"/>
      <c r="R801" s="186"/>
      <c r="S801" s="186"/>
      <c r="T801" s="186"/>
      <c r="U801" s="186"/>
      <c r="V801" s="186"/>
      <c r="W801" s="186"/>
      <c r="X801" s="186"/>
      <c r="Y801" s="186"/>
      <c r="Z801" s="305"/>
      <c r="AA801" s="60"/>
      <c r="AB801" s="60"/>
      <c r="AC801" s="60"/>
      <c r="AD801" s="60"/>
      <c r="AE801" s="60"/>
      <c r="AF801" s="60"/>
      <c r="AG801" s="60"/>
      <c r="AH801" s="60"/>
      <c r="AI801" s="60"/>
      <c r="AJ801" s="60"/>
    </row>
    <row r="802" spans="1:36" s="59" customFormat="1" ht="35.25">
      <c r="A802" s="193"/>
      <c r="B802" s="203"/>
      <c r="C802" s="186"/>
      <c r="D802" s="186"/>
      <c r="E802" s="186"/>
      <c r="F802" s="186"/>
      <c r="G802" s="186"/>
      <c r="H802" s="186"/>
      <c r="I802" s="186"/>
      <c r="J802" s="186"/>
      <c r="K802" s="186"/>
      <c r="L802" s="370"/>
      <c r="M802" s="370"/>
      <c r="N802" s="370"/>
      <c r="O802" s="370"/>
      <c r="P802" s="370"/>
      <c r="Q802" s="186"/>
      <c r="R802" s="186"/>
      <c r="S802" s="186"/>
      <c r="T802" s="186"/>
      <c r="U802" s="186"/>
      <c r="V802" s="186"/>
      <c r="W802" s="186"/>
      <c r="X802" s="186"/>
      <c r="Y802" s="186"/>
      <c r="Z802" s="305"/>
      <c r="AA802" s="60"/>
      <c r="AB802" s="60"/>
      <c r="AC802" s="60"/>
      <c r="AD802" s="60"/>
      <c r="AE802" s="60"/>
      <c r="AF802" s="60"/>
      <c r="AG802" s="60"/>
      <c r="AH802" s="60"/>
      <c r="AI802" s="60"/>
      <c r="AJ802" s="60"/>
    </row>
    <row r="803" spans="1:36" s="59" customFormat="1" ht="35.25">
      <c r="A803" s="193"/>
      <c r="B803" s="203"/>
      <c r="C803" s="186"/>
      <c r="D803" s="186"/>
      <c r="E803" s="186"/>
      <c r="F803" s="186"/>
      <c r="G803" s="186"/>
      <c r="H803" s="186"/>
      <c r="I803" s="186"/>
      <c r="J803" s="186"/>
      <c r="K803" s="186"/>
      <c r="L803" s="370"/>
      <c r="M803" s="370"/>
      <c r="N803" s="370"/>
      <c r="O803" s="370"/>
      <c r="P803" s="370"/>
      <c r="Q803" s="186"/>
      <c r="R803" s="186"/>
      <c r="S803" s="186"/>
      <c r="T803" s="186"/>
      <c r="U803" s="186"/>
      <c r="V803" s="186"/>
      <c r="W803" s="186"/>
      <c r="X803" s="186"/>
      <c r="Y803" s="186"/>
      <c r="Z803" s="305"/>
      <c r="AA803" s="60"/>
      <c r="AB803" s="60"/>
      <c r="AC803" s="60"/>
      <c r="AD803" s="60"/>
      <c r="AE803" s="60"/>
      <c r="AF803" s="60"/>
      <c r="AG803" s="60"/>
      <c r="AH803" s="60"/>
      <c r="AI803" s="60"/>
      <c r="AJ803" s="60"/>
    </row>
    <row r="804" spans="1:36" s="59" customFormat="1" ht="35.25">
      <c r="A804" s="193"/>
      <c r="B804" s="203"/>
      <c r="C804" s="186"/>
      <c r="D804" s="186"/>
      <c r="E804" s="186"/>
      <c r="F804" s="186"/>
      <c r="G804" s="186"/>
      <c r="H804" s="186"/>
      <c r="I804" s="186"/>
      <c r="J804" s="186"/>
      <c r="K804" s="186"/>
      <c r="L804" s="370"/>
      <c r="M804" s="370"/>
      <c r="N804" s="370"/>
      <c r="O804" s="370"/>
      <c r="P804" s="370"/>
      <c r="Q804" s="186"/>
      <c r="R804" s="186"/>
      <c r="S804" s="186"/>
      <c r="T804" s="186"/>
      <c r="U804" s="186"/>
      <c r="V804" s="186"/>
      <c r="W804" s="186"/>
      <c r="X804" s="186"/>
      <c r="Y804" s="186"/>
      <c r="Z804" s="305"/>
      <c r="AA804" s="60"/>
      <c r="AB804" s="60"/>
      <c r="AC804" s="60"/>
      <c r="AD804" s="60"/>
      <c r="AE804" s="60"/>
      <c r="AF804" s="60"/>
      <c r="AG804" s="60"/>
      <c r="AH804" s="60"/>
      <c r="AI804" s="60"/>
      <c r="AJ804" s="60"/>
    </row>
    <row r="805" spans="1:36" s="59" customFormat="1" ht="35.25">
      <c r="A805" s="193"/>
      <c r="B805" s="203"/>
      <c r="C805" s="186"/>
      <c r="D805" s="186"/>
      <c r="E805" s="186"/>
      <c r="F805" s="186"/>
      <c r="G805" s="186"/>
      <c r="H805" s="186"/>
      <c r="I805" s="186"/>
      <c r="J805" s="186"/>
      <c r="K805" s="186"/>
      <c r="L805" s="370"/>
      <c r="M805" s="370"/>
      <c r="N805" s="370"/>
      <c r="O805" s="370"/>
      <c r="P805" s="370"/>
      <c r="Q805" s="186"/>
      <c r="R805" s="186"/>
      <c r="S805" s="186"/>
      <c r="T805" s="186"/>
      <c r="U805" s="186"/>
      <c r="V805" s="186"/>
      <c r="W805" s="186"/>
      <c r="X805" s="186"/>
      <c r="Y805" s="186"/>
      <c r="Z805" s="305"/>
      <c r="AA805" s="60"/>
      <c r="AB805" s="60"/>
      <c r="AC805" s="60"/>
      <c r="AD805" s="60"/>
      <c r="AE805" s="60"/>
      <c r="AF805" s="60"/>
      <c r="AG805" s="60"/>
      <c r="AH805" s="60"/>
      <c r="AI805" s="60"/>
      <c r="AJ805" s="60"/>
    </row>
    <row r="806" spans="1:36" s="59" customFormat="1" ht="35.25">
      <c r="A806" s="193"/>
      <c r="B806" s="203"/>
      <c r="C806" s="186"/>
      <c r="D806" s="186"/>
      <c r="E806" s="186"/>
      <c r="F806" s="186"/>
      <c r="G806" s="186"/>
      <c r="H806" s="186"/>
      <c r="I806" s="186"/>
      <c r="J806" s="186"/>
      <c r="K806" s="186"/>
      <c r="L806" s="370"/>
      <c r="M806" s="370"/>
      <c r="N806" s="370"/>
      <c r="O806" s="370"/>
      <c r="P806" s="370"/>
      <c r="Q806" s="186"/>
      <c r="R806" s="186"/>
      <c r="S806" s="186"/>
      <c r="T806" s="186"/>
      <c r="U806" s="186"/>
      <c r="V806" s="186"/>
      <c r="W806" s="186"/>
      <c r="X806" s="186"/>
      <c r="Y806" s="186"/>
      <c r="Z806" s="305"/>
      <c r="AA806" s="60"/>
      <c r="AB806" s="60"/>
      <c r="AC806" s="60"/>
      <c r="AD806" s="60"/>
      <c r="AE806" s="60"/>
      <c r="AF806" s="60"/>
      <c r="AG806" s="60"/>
      <c r="AH806" s="60"/>
      <c r="AI806" s="60"/>
      <c r="AJ806" s="60"/>
    </row>
    <row r="807" spans="1:36" s="59" customFormat="1" ht="35.25">
      <c r="A807" s="193"/>
      <c r="B807" s="203"/>
      <c r="C807" s="186"/>
      <c r="D807" s="186"/>
      <c r="E807" s="186"/>
      <c r="F807" s="186"/>
      <c r="G807" s="186"/>
      <c r="H807" s="186"/>
      <c r="I807" s="186"/>
      <c r="J807" s="186"/>
      <c r="K807" s="186"/>
      <c r="L807" s="370"/>
      <c r="M807" s="370"/>
      <c r="N807" s="370"/>
      <c r="O807" s="370"/>
      <c r="P807" s="370"/>
      <c r="Q807" s="186"/>
      <c r="R807" s="186"/>
      <c r="S807" s="186"/>
      <c r="T807" s="186"/>
      <c r="U807" s="186"/>
      <c r="V807" s="186"/>
      <c r="W807" s="186"/>
      <c r="X807" s="186"/>
      <c r="Y807" s="186"/>
      <c r="Z807" s="305"/>
      <c r="AA807" s="60"/>
      <c r="AB807" s="60"/>
      <c r="AC807" s="60"/>
      <c r="AD807" s="60"/>
      <c r="AE807" s="60"/>
      <c r="AF807" s="60"/>
      <c r="AG807" s="60"/>
      <c r="AH807" s="60"/>
      <c r="AI807" s="60"/>
      <c r="AJ807" s="60"/>
    </row>
    <row r="808" spans="1:36" s="59" customFormat="1" ht="35.25">
      <c r="A808" s="193"/>
      <c r="B808" s="203"/>
      <c r="C808" s="186"/>
      <c r="D808" s="186"/>
      <c r="E808" s="186"/>
      <c r="F808" s="186"/>
      <c r="G808" s="186"/>
      <c r="H808" s="186"/>
      <c r="I808" s="186"/>
      <c r="J808" s="186"/>
      <c r="K808" s="186"/>
      <c r="L808" s="370"/>
      <c r="M808" s="370"/>
      <c r="N808" s="370"/>
      <c r="O808" s="370"/>
      <c r="P808" s="370"/>
      <c r="Q808" s="186"/>
      <c r="R808" s="186"/>
      <c r="S808" s="186"/>
      <c r="T808" s="186"/>
      <c r="U808" s="186"/>
      <c r="V808" s="186"/>
      <c r="W808" s="186"/>
      <c r="X808" s="186"/>
      <c r="Y808" s="186"/>
      <c r="Z808" s="305"/>
      <c r="AA808" s="60"/>
      <c r="AB808" s="60"/>
      <c r="AC808" s="60"/>
      <c r="AD808" s="60"/>
      <c r="AE808" s="60"/>
      <c r="AF808" s="60"/>
      <c r="AG808" s="60"/>
      <c r="AH808" s="60"/>
      <c r="AI808" s="60"/>
      <c r="AJ808" s="60"/>
    </row>
    <row r="809" spans="1:36" s="59" customFormat="1" ht="35.25">
      <c r="A809" s="193"/>
      <c r="B809" s="203"/>
      <c r="C809" s="186"/>
      <c r="D809" s="186"/>
      <c r="E809" s="186"/>
      <c r="F809" s="186"/>
      <c r="G809" s="186"/>
      <c r="H809" s="186"/>
      <c r="I809" s="186"/>
      <c r="J809" s="186"/>
      <c r="K809" s="186"/>
      <c r="L809" s="370"/>
      <c r="M809" s="370"/>
      <c r="N809" s="370"/>
      <c r="O809" s="370"/>
      <c r="P809" s="370"/>
      <c r="Q809" s="186"/>
      <c r="R809" s="186"/>
      <c r="S809" s="186"/>
      <c r="T809" s="186"/>
      <c r="U809" s="186"/>
      <c r="V809" s="186"/>
      <c r="W809" s="186"/>
      <c r="X809" s="186"/>
      <c r="Y809" s="186"/>
      <c r="Z809" s="305"/>
      <c r="AA809" s="60"/>
      <c r="AB809" s="60"/>
      <c r="AC809" s="60"/>
      <c r="AD809" s="60"/>
      <c r="AE809" s="60"/>
      <c r="AF809" s="60"/>
      <c r="AG809" s="60"/>
      <c r="AH809" s="60"/>
      <c r="AI809" s="60"/>
      <c r="AJ809" s="60"/>
    </row>
    <row r="810" spans="1:36" s="59" customFormat="1" ht="35.25">
      <c r="A810" s="193"/>
      <c r="B810" s="203"/>
      <c r="C810" s="186"/>
      <c r="D810" s="186"/>
      <c r="E810" s="186"/>
      <c r="F810" s="186"/>
      <c r="G810" s="186"/>
      <c r="H810" s="186"/>
      <c r="I810" s="186"/>
      <c r="J810" s="186"/>
      <c r="K810" s="186"/>
      <c r="L810" s="370"/>
      <c r="M810" s="370"/>
      <c r="N810" s="370"/>
      <c r="O810" s="370"/>
      <c r="P810" s="370"/>
      <c r="Q810" s="186"/>
      <c r="R810" s="186"/>
      <c r="S810" s="186"/>
      <c r="T810" s="186"/>
      <c r="U810" s="186"/>
      <c r="V810" s="186"/>
      <c r="W810" s="186"/>
      <c r="X810" s="186"/>
      <c r="Y810" s="186"/>
      <c r="Z810" s="305"/>
      <c r="AA810" s="60"/>
      <c r="AB810" s="60"/>
      <c r="AC810" s="60"/>
      <c r="AD810" s="60"/>
      <c r="AE810" s="60"/>
      <c r="AF810" s="60"/>
      <c r="AG810" s="60"/>
      <c r="AH810" s="60"/>
      <c r="AI810" s="60"/>
      <c r="AJ810" s="60"/>
    </row>
    <row r="811" spans="1:36" s="59" customFormat="1" ht="35.25">
      <c r="A811" s="193"/>
      <c r="B811" s="203"/>
      <c r="C811" s="186"/>
      <c r="D811" s="186"/>
      <c r="E811" s="186"/>
      <c r="F811" s="186"/>
      <c r="G811" s="186"/>
      <c r="H811" s="186"/>
      <c r="I811" s="186"/>
      <c r="J811" s="186"/>
      <c r="K811" s="186"/>
      <c r="L811" s="370"/>
      <c r="M811" s="370"/>
      <c r="N811" s="370"/>
      <c r="O811" s="370"/>
      <c r="P811" s="370"/>
      <c r="Q811" s="186"/>
      <c r="R811" s="186"/>
      <c r="S811" s="186"/>
      <c r="T811" s="186"/>
      <c r="U811" s="186"/>
      <c r="V811" s="186"/>
      <c r="W811" s="186"/>
      <c r="X811" s="186"/>
      <c r="Y811" s="186"/>
      <c r="Z811" s="305"/>
      <c r="AA811" s="60"/>
      <c r="AB811" s="60"/>
      <c r="AC811" s="60"/>
      <c r="AD811" s="60"/>
      <c r="AE811" s="60"/>
      <c r="AF811" s="60"/>
      <c r="AG811" s="60"/>
      <c r="AH811" s="60"/>
      <c r="AI811" s="60"/>
      <c r="AJ811" s="60"/>
    </row>
    <row r="812" spans="1:36" s="59" customFormat="1" ht="35.25">
      <c r="A812" s="193"/>
      <c r="B812" s="203"/>
      <c r="C812" s="186"/>
      <c r="D812" s="186"/>
      <c r="E812" s="186"/>
      <c r="F812" s="186"/>
      <c r="G812" s="186"/>
      <c r="H812" s="186"/>
      <c r="I812" s="186"/>
      <c r="J812" s="186"/>
      <c r="K812" s="186"/>
      <c r="L812" s="370"/>
      <c r="M812" s="370"/>
      <c r="N812" s="370"/>
      <c r="O812" s="370"/>
      <c r="P812" s="370"/>
      <c r="Q812" s="186"/>
      <c r="R812" s="186"/>
      <c r="S812" s="186"/>
      <c r="T812" s="186"/>
      <c r="U812" s="186"/>
      <c r="V812" s="186"/>
      <c r="W812" s="186"/>
      <c r="X812" s="186"/>
      <c r="Y812" s="186"/>
      <c r="Z812" s="305"/>
      <c r="AA812" s="60"/>
      <c r="AB812" s="60"/>
      <c r="AC812" s="60"/>
      <c r="AD812" s="60"/>
      <c r="AE812" s="60"/>
      <c r="AF812" s="60"/>
      <c r="AG812" s="60"/>
      <c r="AH812" s="60"/>
      <c r="AI812" s="60"/>
      <c r="AJ812" s="60"/>
    </row>
    <row r="813" spans="1:36" s="59" customFormat="1" ht="35.25">
      <c r="A813" s="193"/>
      <c r="B813" s="203"/>
      <c r="C813" s="186"/>
      <c r="D813" s="186"/>
      <c r="E813" s="186"/>
      <c r="F813" s="186"/>
      <c r="G813" s="186"/>
      <c r="H813" s="186"/>
      <c r="I813" s="186"/>
      <c r="J813" s="186"/>
      <c r="K813" s="186"/>
      <c r="L813" s="370"/>
      <c r="M813" s="370"/>
      <c r="N813" s="370"/>
      <c r="O813" s="370"/>
      <c r="P813" s="370"/>
      <c r="Q813" s="186"/>
      <c r="R813" s="186"/>
      <c r="S813" s="186"/>
      <c r="T813" s="186"/>
      <c r="U813" s="186"/>
      <c r="V813" s="186"/>
      <c r="W813" s="186"/>
      <c r="X813" s="186"/>
      <c r="Y813" s="186"/>
      <c r="Z813" s="305"/>
      <c r="AA813" s="60"/>
      <c r="AB813" s="60"/>
      <c r="AC813" s="60"/>
      <c r="AD813" s="60"/>
      <c r="AE813" s="60"/>
      <c r="AF813" s="60"/>
      <c r="AG813" s="60"/>
      <c r="AH813" s="60"/>
      <c r="AI813" s="60"/>
      <c r="AJ813" s="60"/>
    </row>
    <row r="814" spans="1:36" s="59" customFormat="1" ht="35.25">
      <c r="A814" s="193"/>
      <c r="B814" s="203"/>
      <c r="C814" s="186"/>
      <c r="D814" s="186"/>
      <c r="E814" s="186"/>
      <c r="F814" s="186"/>
      <c r="G814" s="186"/>
      <c r="H814" s="186"/>
      <c r="I814" s="186"/>
      <c r="J814" s="186"/>
      <c r="K814" s="186"/>
      <c r="L814" s="370"/>
      <c r="M814" s="370"/>
      <c r="N814" s="370"/>
      <c r="O814" s="370"/>
      <c r="P814" s="370"/>
      <c r="Q814" s="186"/>
      <c r="R814" s="186"/>
      <c r="S814" s="186"/>
      <c r="T814" s="186"/>
      <c r="U814" s="186"/>
      <c r="V814" s="186"/>
      <c r="W814" s="186"/>
      <c r="X814" s="186"/>
      <c r="Y814" s="186"/>
      <c r="Z814" s="305"/>
      <c r="AA814" s="60"/>
      <c r="AB814" s="60"/>
      <c r="AC814" s="60"/>
      <c r="AD814" s="60"/>
      <c r="AE814" s="60"/>
      <c r="AF814" s="60"/>
      <c r="AG814" s="60"/>
      <c r="AH814" s="60"/>
      <c r="AI814" s="60"/>
      <c r="AJ814" s="60"/>
    </row>
    <row r="815" spans="1:36" s="59" customFormat="1" ht="35.25">
      <c r="A815" s="193"/>
      <c r="B815" s="203"/>
      <c r="C815" s="186"/>
      <c r="D815" s="186"/>
      <c r="E815" s="186"/>
      <c r="F815" s="186"/>
      <c r="G815" s="186"/>
      <c r="H815" s="186"/>
      <c r="I815" s="186"/>
      <c r="J815" s="186"/>
      <c r="K815" s="186"/>
      <c r="L815" s="370"/>
      <c r="M815" s="370"/>
      <c r="N815" s="370"/>
      <c r="O815" s="370"/>
      <c r="P815" s="370"/>
      <c r="Q815" s="186"/>
      <c r="R815" s="186"/>
      <c r="S815" s="186"/>
      <c r="T815" s="186"/>
      <c r="U815" s="186"/>
      <c r="V815" s="186"/>
      <c r="W815" s="186"/>
      <c r="X815" s="186"/>
      <c r="Y815" s="186"/>
      <c r="Z815" s="305"/>
      <c r="AA815" s="60"/>
      <c r="AB815" s="60"/>
      <c r="AC815" s="60"/>
      <c r="AD815" s="60"/>
      <c r="AE815" s="60"/>
      <c r="AF815" s="60"/>
      <c r="AG815" s="60"/>
      <c r="AH815" s="60"/>
      <c r="AI815" s="60"/>
      <c r="AJ815" s="60"/>
    </row>
    <row r="816" spans="1:36" s="59" customFormat="1" ht="35.25">
      <c r="A816" s="193"/>
      <c r="B816" s="203"/>
      <c r="C816" s="186"/>
      <c r="D816" s="186"/>
      <c r="E816" s="186"/>
      <c r="F816" s="186"/>
      <c r="G816" s="186"/>
      <c r="H816" s="186"/>
      <c r="I816" s="186"/>
      <c r="J816" s="186"/>
      <c r="K816" s="186"/>
      <c r="L816" s="370"/>
      <c r="M816" s="370"/>
      <c r="N816" s="370"/>
      <c r="O816" s="370"/>
      <c r="P816" s="370"/>
      <c r="Q816" s="186"/>
      <c r="R816" s="186"/>
      <c r="S816" s="186"/>
      <c r="T816" s="186"/>
      <c r="U816" s="186"/>
      <c r="V816" s="186"/>
      <c r="W816" s="186"/>
      <c r="X816" s="186"/>
      <c r="Y816" s="186"/>
      <c r="Z816" s="305"/>
      <c r="AA816" s="60"/>
      <c r="AB816" s="60"/>
      <c r="AC816" s="60"/>
      <c r="AD816" s="60"/>
      <c r="AE816" s="60"/>
      <c r="AF816" s="60"/>
      <c r="AG816" s="60"/>
      <c r="AH816" s="60"/>
      <c r="AI816" s="60"/>
      <c r="AJ816" s="60"/>
    </row>
    <row r="817" spans="1:36" s="59" customFormat="1" ht="35.25">
      <c r="A817" s="193"/>
      <c r="B817" s="203"/>
      <c r="C817" s="186"/>
      <c r="D817" s="186"/>
      <c r="E817" s="186"/>
      <c r="F817" s="186"/>
      <c r="G817" s="186"/>
      <c r="H817" s="186"/>
      <c r="I817" s="186"/>
      <c r="J817" s="186"/>
      <c r="K817" s="186"/>
      <c r="L817" s="370"/>
      <c r="M817" s="370"/>
      <c r="N817" s="370"/>
      <c r="O817" s="370"/>
      <c r="P817" s="370"/>
      <c r="Q817" s="186"/>
      <c r="R817" s="186"/>
      <c r="S817" s="186"/>
      <c r="T817" s="186"/>
      <c r="U817" s="186"/>
      <c r="V817" s="186"/>
      <c r="W817" s="186"/>
      <c r="X817" s="186"/>
      <c r="Y817" s="186"/>
      <c r="Z817" s="305"/>
      <c r="AA817" s="60"/>
      <c r="AB817" s="60"/>
      <c r="AC817" s="60"/>
      <c r="AD817" s="60"/>
      <c r="AE817" s="60"/>
      <c r="AF817" s="60"/>
      <c r="AG817" s="60"/>
      <c r="AH817" s="60"/>
      <c r="AI817" s="60"/>
      <c r="AJ817" s="60"/>
    </row>
    <row r="818" spans="1:36" s="59" customFormat="1" ht="35.25">
      <c r="A818" s="193"/>
      <c r="B818" s="203"/>
      <c r="C818" s="186"/>
      <c r="D818" s="186"/>
      <c r="E818" s="186"/>
      <c r="F818" s="186"/>
      <c r="G818" s="186"/>
      <c r="H818" s="186"/>
      <c r="I818" s="186"/>
      <c r="J818" s="186"/>
      <c r="K818" s="186"/>
      <c r="L818" s="370"/>
      <c r="M818" s="370"/>
      <c r="N818" s="370"/>
      <c r="O818" s="370"/>
      <c r="P818" s="370"/>
      <c r="Q818" s="186"/>
      <c r="R818" s="186"/>
      <c r="S818" s="186"/>
      <c r="T818" s="186"/>
      <c r="U818" s="186"/>
      <c r="V818" s="186"/>
      <c r="W818" s="186"/>
      <c r="X818" s="186"/>
      <c r="Y818" s="186"/>
      <c r="Z818" s="305"/>
      <c r="AA818" s="60"/>
      <c r="AB818" s="60"/>
      <c r="AC818" s="60"/>
      <c r="AD818" s="60"/>
      <c r="AE818" s="60"/>
      <c r="AF818" s="60"/>
      <c r="AG818" s="60"/>
      <c r="AH818" s="60"/>
      <c r="AI818" s="60"/>
      <c r="AJ818" s="60"/>
    </row>
    <row r="819" spans="1:36" s="59" customFormat="1" ht="35.25">
      <c r="A819" s="193"/>
      <c r="B819" s="203"/>
      <c r="C819" s="186"/>
      <c r="D819" s="186"/>
      <c r="E819" s="186"/>
      <c r="F819" s="186"/>
      <c r="G819" s="186"/>
      <c r="H819" s="186"/>
      <c r="I819" s="186"/>
      <c r="J819" s="186"/>
      <c r="K819" s="186"/>
      <c r="L819" s="370"/>
      <c r="M819" s="370"/>
      <c r="N819" s="370"/>
      <c r="O819" s="370"/>
      <c r="P819" s="370"/>
      <c r="Q819" s="186"/>
      <c r="R819" s="186"/>
      <c r="S819" s="186"/>
      <c r="T819" s="186"/>
      <c r="U819" s="186"/>
      <c r="V819" s="186"/>
      <c r="W819" s="186"/>
      <c r="X819" s="186"/>
      <c r="Y819" s="186"/>
      <c r="Z819" s="305"/>
      <c r="AA819" s="60"/>
      <c r="AB819" s="60"/>
      <c r="AC819" s="60"/>
      <c r="AD819" s="60"/>
      <c r="AE819" s="60"/>
      <c r="AF819" s="60"/>
      <c r="AG819" s="60"/>
      <c r="AH819" s="60"/>
      <c r="AI819" s="60"/>
      <c r="AJ819" s="60"/>
    </row>
    <row r="820" spans="1:36" s="59" customFormat="1" ht="35.25">
      <c r="A820" s="193"/>
      <c r="B820" s="203"/>
      <c r="C820" s="186"/>
      <c r="D820" s="186"/>
      <c r="E820" s="186"/>
      <c r="F820" s="186"/>
      <c r="G820" s="186"/>
      <c r="H820" s="186"/>
      <c r="I820" s="186"/>
      <c r="J820" s="186"/>
      <c r="K820" s="186"/>
      <c r="L820" s="370"/>
      <c r="M820" s="370"/>
      <c r="N820" s="370"/>
      <c r="O820" s="370"/>
      <c r="P820" s="370"/>
      <c r="Q820" s="186"/>
      <c r="R820" s="186"/>
      <c r="S820" s="186"/>
      <c r="T820" s="186"/>
      <c r="U820" s="186"/>
      <c r="V820" s="186"/>
      <c r="W820" s="186"/>
      <c r="X820" s="186"/>
      <c r="Y820" s="186"/>
      <c r="Z820" s="305"/>
      <c r="AA820" s="60"/>
      <c r="AB820" s="60"/>
      <c r="AC820" s="60"/>
      <c r="AD820" s="60"/>
      <c r="AE820" s="60"/>
      <c r="AF820" s="60"/>
      <c r="AG820" s="60"/>
      <c r="AH820" s="60"/>
      <c r="AI820" s="60"/>
      <c r="AJ820" s="60"/>
    </row>
    <row r="821" spans="1:36" s="59" customFormat="1" ht="35.25">
      <c r="A821" s="193"/>
      <c r="B821" s="203"/>
      <c r="C821" s="186"/>
      <c r="D821" s="186"/>
      <c r="E821" s="186"/>
      <c r="F821" s="186"/>
      <c r="G821" s="186"/>
      <c r="H821" s="186"/>
      <c r="I821" s="186"/>
      <c r="J821" s="186"/>
      <c r="K821" s="186"/>
      <c r="L821" s="370"/>
      <c r="M821" s="370"/>
      <c r="N821" s="370"/>
      <c r="O821" s="370"/>
      <c r="P821" s="370"/>
      <c r="Q821" s="186"/>
      <c r="R821" s="186"/>
      <c r="S821" s="186"/>
      <c r="T821" s="186"/>
      <c r="U821" s="186"/>
      <c r="V821" s="186"/>
      <c r="W821" s="186"/>
      <c r="X821" s="186"/>
      <c r="Y821" s="186"/>
      <c r="Z821" s="305"/>
      <c r="AA821" s="60"/>
      <c r="AB821" s="60"/>
      <c r="AC821" s="60"/>
      <c r="AD821" s="60"/>
      <c r="AE821" s="60"/>
      <c r="AF821" s="60"/>
      <c r="AG821" s="60"/>
      <c r="AH821" s="60"/>
      <c r="AI821" s="60"/>
      <c r="AJ821" s="60"/>
    </row>
    <row r="822" spans="1:36" s="59" customFormat="1" ht="35.25">
      <c r="A822" s="193"/>
      <c r="B822" s="203"/>
      <c r="C822" s="186"/>
      <c r="D822" s="186"/>
      <c r="E822" s="186"/>
      <c r="F822" s="186"/>
      <c r="G822" s="186"/>
      <c r="H822" s="186"/>
      <c r="I822" s="186"/>
      <c r="J822" s="186"/>
      <c r="K822" s="186"/>
      <c r="L822" s="370"/>
      <c r="M822" s="370"/>
      <c r="N822" s="370"/>
      <c r="O822" s="370"/>
      <c r="P822" s="370"/>
      <c r="Q822" s="186"/>
      <c r="R822" s="186"/>
      <c r="S822" s="186"/>
      <c r="T822" s="186"/>
      <c r="U822" s="186"/>
      <c r="V822" s="186"/>
      <c r="W822" s="186"/>
      <c r="X822" s="186"/>
      <c r="Y822" s="186"/>
      <c r="Z822" s="305"/>
      <c r="AA822" s="60"/>
      <c r="AB822" s="60"/>
      <c r="AC822" s="60"/>
      <c r="AD822" s="60"/>
      <c r="AE822" s="60"/>
      <c r="AF822" s="60"/>
      <c r="AG822" s="60"/>
      <c r="AH822" s="60"/>
      <c r="AI822" s="60"/>
      <c r="AJ822" s="60"/>
    </row>
    <row r="823" spans="1:36" s="59" customFormat="1" ht="35.25">
      <c r="A823" s="193"/>
      <c r="B823" s="203"/>
      <c r="C823" s="186"/>
      <c r="D823" s="186"/>
      <c r="E823" s="186"/>
      <c r="F823" s="186"/>
      <c r="G823" s="186"/>
      <c r="H823" s="186"/>
      <c r="I823" s="186"/>
      <c r="J823" s="186"/>
      <c r="K823" s="186"/>
      <c r="L823" s="370"/>
      <c r="M823" s="370"/>
      <c r="N823" s="370"/>
      <c r="O823" s="370"/>
      <c r="P823" s="370"/>
      <c r="Q823" s="186"/>
      <c r="R823" s="186"/>
      <c r="S823" s="186"/>
      <c r="T823" s="186"/>
      <c r="U823" s="186"/>
      <c r="V823" s="186"/>
      <c r="W823" s="186"/>
      <c r="X823" s="186"/>
      <c r="Y823" s="186"/>
      <c r="Z823" s="305"/>
      <c r="AA823" s="60"/>
      <c r="AB823" s="60"/>
      <c r="AC823" s="60"/>
      <c r="AD823" s="60"/>
      <c r="AE823" s="60"/>
      <c r="AF823" s="60"/>
      <c r="AG823" s="60"/>
      <c r="AH823" s="60"/>
      <c r="AI823" s="60"/>
      <c r="AJ823" s="60"/>
    </row>
    <row r="824" spans="1:36" s="59" customFormat="1" ht="35.25">
      <c r="A824" s="193"/>
      <c r="B824" s="203"/>
      <c r="C824" s="186"/>
      <c r="D824" s="186"/>
      <c r="E824" s="186"/>
      <c r="F824" s="186"/>
      <c r="G824" s="186"/>
      <c r="H824" s="186"/>
      <c r="I824" s="186"/>
      <c r="J824" s="186"/>
      <c r="K824" s="186"/>
      <c r="L824" s="370"/>
      <c r="M824" s="370"/>
      <c r="N824" s="370"/>
      <c r="O824" s="370"/>
      <c r="P824" s="370"/>
      <c r="Q824" s="186"/>
      <c r="R824" s="186"/>
      <c r="S824" s="186"/>
      <c r="T824" s="186"/>
      <c r="U824" s="186"/>
      <c r="V824" s="186"/>
      <c r="W824" s="186"/>
      <c r="X824" s="186"/>
      <c r="Y824" s="186"/>
      <c r="Z824" s="305"/>
      <c r="AA824" s="60"/>
      <c r="AB824" s="60"/>
      <c r="AC824" s="60"/>
      <c r="AD824" s="60"/>
      <c r="AE824" s="60"/>
      <c r="AF824" s="60"/>
      <c r="AG824" s="60"/>
      <c r="AH824" s="60"/>
      <c r="AI824" s="60"/>
      <c r="AJ824" s="60"/>
    </row>
    <row r="825" spans="1:36" s="59" customFormat="1" ht="35.25">
      <c r="A825" s="193"/>
      <c r="B825" s="203"/>
      <c r="C825" s="186"/>
      <c r="D825" s="186"/>
      <c r="E825" s="186"/>
      <c r="F825" s="186"/>
      <c r="G825" s="186"/>
      <c r="H825" s="186"/>
      <c r="I825" s="186"/>
      <c r="J825" s="186"/>
      <c r="K825" s="186"/>
      <c r="L825" s="370"/>
      <c r="M825" s="370"/>
      <c r="N825" s="370"/>
      <c r="O825" s="370"/>
      <c r="P825" s="370"/>
      <c r="Q825" s="186"/>
      <c r="R825" s="186"/>
      <c r="S825" s="186"/>
      <c r="T825" s="186"/>
      <c r="U825" s="186"/>
      <c r="V825" s="186"/>
      <c r="W825" s="186"/>
      <c r="X825" s="186"/>
      <c r="Y825" s="186"/>
      <c r="Z825" s="305"/>
      <c r="AA825" s="60"/>
      <c r="AB825" s="60"/>
      <c r="AC825" s="60"/>
      <c r="AD825" s="60"/>
      <c r="AE825" s="60"/>
      <c r="AF825" s="60"/>
      <c r="AG825" s="60"/>
      <c r="AH825" s="60"/>
      <c r="AI825" s="60"/>
      <c r="AJ825" s="60"/>
    </row>
    <row r="826" spans="1:36" s="59" customFormat="1" ht="35.25">
      <c r="A826" s="193"/>
      <c r="B826" s="203"/>
      <c r="C826" s="186"/>
      <c r="D826" s="186"/>
      <c r="E826" s="186"/>
      <c r="F826" s="186"/>
      <c r="G826" s="186"/>
      <c r="H826" s="186"/>
      <c r="I826" s="186"/>
      <c r="J826" s="186"/>
      <c r="K826" s="186"/>
      <c r="L826" s="370"/>
      <c r="M826" s="370"/>
      <c r="N826" s="370"/>
      <c r="O826" s="370"/>
      <c r="P826" s="370"/>
      <c r="Q826" s="186"/>
      <c r="R826" s="186"/>
      <c r="S826" s="186"/>
      <c r="T826" s="186"/>
      <c r="U826" s="186"/>
      <c r="V826" s="186"/>
      <c r="W826" s="186"/>
      <c r="X826" s="186"/>
      <c r="Y826" s="186"/>
      <c r="Z826" s="305"/>
      <c r="AA826" s="60"/>
      <c r="AB826" s="60"/>
      <c r="AC826" s="60"/>
      <c r="AD826" s="60"/>
      <c r="AE826" s="60"/>
      <c r="AF826" s="60"/>
      <c r="AG826" s="60"/>
      <c r="AH826" s="60"/>
      <c r="AI826" s="60"/>
      <c r="AJ826" s="60"/>
    </row>
    <row r="827" spans="1:36" s="59" customFormat="1" ht="35.25">
      <c r="A827" s="193"/>
      <c r="B827" s="203"/>
      <c r="C827" s="186"/>
      <c r="D827" s="186"/>
      <c r="E827" s="186"/>
      <c r="F827" s="186"/>
      <c r="G827" s="186"/>
      <c r="H827" s="186"/>
      <c r="I827" s="186"/>
      <c r="J827" s="186"/>
      <c r="K827" s="186"/>
      <c r="L827" s="370"/>
      <c r="M827" s="370"/>
      <c r="N827" s="370"/>
      <c r="O827" s="370"/>
      <c r="P827" s="370"/>
      <c r="Q827" s="186"/>
      <c r="R827" s="186"/>
      <c r="S827" s="186"/>
      <c r="T827" s="186"/>
      <c r="U827" s="186"/>
      <c r="V827" s="186"/>
      <c r="W827" s="186"/>
      <c r="X827" s="186"/>
      <c r="Y827" s="186"/>
      <c r="Z827" s="305"/>
      <c r="AA827" s="60"/>
      <c r="AB827" s="60"/>
      <c r="AC827" s="60"/>
      <c r="AD827" s="60"/>
      <c r="AE827" s="60"/>
      <c r="AF827" s="60"/>
      <c r="AG827" s="60"/>
      <c r="AH827" s="60"/>
      <c r="AI827" s="60"/>
      <c r="AJ827" s="60"/>
    </row>
    <row r="828" spans="1:36" s="59" customFormat="1" ht="35.25">
      <c r="A828" s="193"/>
      <c r="B828" s="203"/>
      <c r="C828" s="186"/>
      <c r="D828" s="186"/>
      <c r="E828" s="186"/>
      <c r="F828" s="186"/>
      <c r="G828" s="186"/>
      <c r="H828" s="186"/>
      <c r="I828" s="186"/>
      <c r="J828" s="186"/>
      <c r="K828" s="186"/>
      <c r="L828" s="370"/>
      <c r="M828" s="370"/>
      <c r="N828" s="370"/>
      <c r="O828" s="370"/>
      <c r="P828" s="370"/>
      <c r="Q828" s="186"/>
      <c r="R828" s="186"/>
      <c r="S828" s="186"/>
      <c r="T828" s="186"/>
      <c r="U828" s="186"/>
      <c r="V828" s="186"/>
      <c r="W828" s="186"/>
      <c r="X828" s="186"/>
      <c r="Y828" s="186"/>
      <c r="Z828" s="305"/>
      <c r="AA828" s="60"/>
      <c r="AB828" s="60"/>
      <c r="AC828" s="60"/>
      <c r="AD828" s="60"/>
      <c r="AE828" s="60"/>
      <c r="AF828" s="60"/>
      <c r="AG828" s="60"/>
      <c r="AH828" s="60"/>
      <c r="AI828" s="60"/>
      <c r="AJ828" s="60"/>
    </row>
    <row r="829" spans="1:36" s="59" customFormat="1" ht="35.25">
      <c r="A829" s="193"/>
      <c r="B829" s="203"/>
      <c r="C829" s="186"/>
      <c r="D829" s="186"/>
      <c r="E829" s="186"/>
      <c r="F829" s="186"/>
      <c r="G829" s="186"/>
      <c r="H829" s="186"/>
      <c r="I829" s="186"/>
      <c r="J829" s="186"/>
      <c r="K829" s="186"/>
      <c r="L829" s="370"/>
      <c r="M829" s="370"/>
      <c r="N829" s="370"/>
      <c r="O829" s="370"/>
      <c r="P829" s="370"/>
      <c r="Q829" s="186"/>
      <c r="R829" s="186"/>
      <c r="S829" s="186"/>
      <c r="T829" s="186"/>
      <c r="U829" s="186"/>
      <c r="V829" s="186"/>
      <c r="W829" s="186"/>
      <c r="X829" s="186"/>
      <c r="Y829" s="186"/>
      <c r="Z829" s="305"/>
      <c r="AA829" s="60"/>
      <c r="AB829" s="60"/>
      <c r="AC829" s="60"/>
      <c r="AD829" s="60"/>
      <c r="AE829" s="60"/>
      <c r="AF829" s="60"/>
      <c r="AG829" s="60"/>
      <c r="AH829" s="60"/>
      <c r="AI829" s="60"/>
      <c r="AJ829" s="60"/>
    </row>
    <row r="830" spans="1:36" s="59" customFormat="1" ht="35.25">
      <c r="A830" s="193"/>
      <c r="B830" s="203"/>
      <c r="C830" s="186"/>
      <c r="D830" s="186"/>
      <c r="E830" s="186"/>
      <c r="F830" s="186"/>
      <c r="G830" s="186"/>
      <c r="H830" s="186"/>
      <c r="I830" s="186"/>
      <c r="J830" s="186"/>
      <c r="K830" s="186"/>
      <c r="L830" s="370"/>
      <c r="M830" s="370"/>
      <c r="N830" s="370"/>
      <c r="O830" s="370"/>
      <c r="P830" s="370"/>
      <c r="Q830" s="186"/>
      <c r="R830" s="186"/>
      <c r="S830" s="186"/>
      <c r="T830" s="186"/>
      <c r="U830" s="186"/>
      <c r="V830" s="186"/>
      <c r="W830" s="186"/>
      <c r="X830" s="186"/>
      <c r="Y830" s="186"/>
      <c r="Z830" s="305"/>
      <c r="AA830" s="60"/>
      <c r="AB830" s="60"/>
      <c r="AC830" s="60"/>
      <c r="AD830" s="60"/>
      <c r="AE830" s="60"/>
      <c r="AF830" s="60"/>
      <c r="AG830" s="60"/>
      <c r="AH830" s="60"/>
      <c r="AI830" s="60"/>
      <c r="AJ830" s="60"/>
    </row>
    <row r="831" spans="1:36" s="59" customFormat="1" ht="35.25">
      <c r="A831" s="193"/>
      <c r="B831" s="203"/>
      <c r="C831" s="186"/>
      <c r="D831" s="186"/>
      <c r="E831" s="186"/>
      <c r="F831" s="186"/>
      <c r="G831" s="186"/>
      <c r="H831" s="186"/>
      <c r="I831" s="186"/>
      <c r="J831" s="186"/>
      <c r="K831" s="186"/>
      <c r="L831" s="370"/>
      <c r="M831" s="370"/>
      <c r="N831" s="370"/>
      <c r="O831" s="370"/>
      <c r="P831" s="370"/>
      <c r="Q831" s="186"/>
      <c r="R831" s="186"/>
      <c r="S831" s="186"/>
      <c r="T831" s="186"/>
      <c r="U831" s="186"/>
      <c r="V831" s="186"/>
      <c r="W831" s="186"/>
      <c r="X831" s="186"/>
      <c r="Y831" s="186"/>
      <c r="Z831" s="305"/>
      <c r="AA831" s="60"/>
      <c r="AB831" s="60"/>
      <c r="AC831" s="60"/>
      <c r="AD831" s="60"/>
      <c r="AE831" s="60"/>
      <c r="AF831" s="60"/>
      <c r="AG831" s="60"/>
      <c r="AH831" s="60"/>
      <c r="AI831" s="60"/>
      <c r="AJ831" s="60"/>
    </row>
    <row r="832" spans="1:36" s="59" customFormat="1" ht="35.25">
      <c r="A832" s="193"/>
      <c r="B832" s="203"/>
      <c r="C832" s="186"/>
      <c r="D832" s="186"/>
      <c r="E832" s="186"/>
      <c r="F832" s="186"/>
      <c r="G832" s="186"/>
      <c r="H832" s="186"/>
      <c r="I832" s="186"/>
      <c r="J832" s="186"/>
      <c r="K832" s="186"/>
      <c r="L832" s="370"/>
      <c r="M832" s="370"/>
      <c r="N832" s="370"/>
      <c r="O832" s="370"/>
      <c r="P832" s="370"/>
      <c r="Q832" s="186"/>
      <c r="R832" s="186"/>
      <c r="S832" s="186"/>
      <c r="T832" s="186"/>
      <c r="U832" s="186"/>
      <c r="V832" s="186"/>
      <c r="W832" s="186"/>
      <c r="X832" s="186"/>
      <c r="Y832" s="186"/>
      <c r="Z832" s="305"/>
      <c r="AA832" s="60"/>
      <c r="AB832" s="60"/>
      <c r="AC832" s="60"/>
      <c r="AD832" s="60"/>
      <c r="AE832" s="60"/>
      <c r="AF832" s="60"/>
      <c r="AG832" s="60"/>
      <c r="AH832" s="60"/>
      <c r="AI832" s="60"/>
      <c r="AJ832" s="60"/>
    </row>
    <row r="833" spans="1:36" s="59" customFormat="1" ht="35.25">
      <c r="A833" s="193"/>
      <c r="B833" s="203"/>
      <c r="C833" s="186"/>
      <c r="D833" s="186"/>
      <c r="E833" s="186"/>
      <c r="F833" s="186"/>
      <c r="G833" s="186"/>
      <c r="H833" s="186"/>
      <c r="I833" s="186"/>
      <c r="J833" s="186"/>
      <c r="K833" s="186"/>
      <c r="L833" s="370"/>
      <c r="M833" s="370"/>
      <c r="N833" s="370"/>
      <c r="O833" s="370"/>
      <c r="P833" s="370"/>
      <c r="Q833" s="186"/>
      <c r="R833" s="186"/>
      <c r="S833" s="186"/>
      <c r="T833" s="186"/>
      <c r="U833" s="186"/>
      <c r="V833" s="186"/>
      <c r="W833" s="186"/>
      <c r="X833" s="186"/>
      <c r="Y833" s="186"/>
      <c r="Z833" s="305"/>
      <c r="AA833" s="60"/>
      <c r="AB833" s="60"/>
      <c r="AC833" s="60"/>
      <c r="AD833" s="60"/>
      <c r="AE833" s="60"/>
      <c r="AF833" s="60"/>
      <c r="AG833" s="60"/>
      <c r="AH833" s="60"/>
      <c r="AI833" s="60"/>
      <c r="AJ833" s="60"/>
    </row>
    <row r="834" spans="1:36" s="59" customFormat="1" ht="35.25">
      <c r="A834" s="193"/>
      <c r="B834" s="203"/>
      <c r="C834" s="186"/>
      <c r="D834" s="186"/>
      <c r="E834" s="186"/>
      <c r="F834" s="186"/>
      <c r="G834" s="186"/>
      <c r="H834" s="186"/>
      <c r="I834" s="186"/>
      <c r="J834" s="186"/>
      <c r="K834" s="186"/>
      <c r="L834" s="370"/>
      <c r="M834" s="370"/>
      <c r="N834" s="370"/>
      <c r="O834" s="370"/>
      <c r="P834" s="370"/>
      <c r="Q834" s="186"/>
      <c r="R834" s="186"/>
      <c r="S834" s="186"/>
      <c r="T834" s="186"/>
      <c r="U834" s="186"/>
      <c r="V834" s="186"/>
      <c r="W834" s="186"/>
      <c r="X834" s="186"/>
      <c r="Y834" s="186"/>
      <c r="Z834" s="305"/>
      <c r="AA834" s="60"/>
      <c r="AB834" s="60"/>
      <c r="AC834" s="60"/>
      <c r="AD834" s="60"/>
      <c r="AE834" s="60"/>
      <c r="AF834" s="60"/>
      <c r="AG834" s="60"/>
      <c r="AH834" s="60"/>
      <c r="AI834" s="60"/>
      <c r="AJ834" s="60"/>
    </row>
    <row r="835" spans="1:36" s="59" customFormat="1" ht="35.25">
      <c r="A835" s="193"/>
      <c r="B835" s="203"/>
      <c r="C835" s="186"/>
      <c r="D835" s="186"/>
      <c r="E835" s="186"/>
      <c r="F835" s="186"/>
      <c r="G835" s="186"/>
      <c r="H835" s="186"/>
      <c r="I835" s="186"/>
      <c r="J835" s="186"/>
      <c r="K835" s="186"/>
      <c r="L835" s="370"/>
      <c r="M835" s="370"/>
      <c r="N835" s="370"/>
      <c r="O835" s="370"/>
      <c r="P835" s="370"/>
      <c r="Q835" s="186"/>
      <c r="R835" s="186"/>
      <c r="S835" s="186"/>
      <c r="T835" s="186"/>
      <c r="U835" s="186"/>
      <c r="V835" s="186"/>
      <c r="W835" s="186"/>
      <c r="X835" s="186"/>
      <c r="Y835" s="186"/>
      <c r="Z835" s="305"/>
      <c r="AA835" s="60"/>
      <c r="AB835" s="60"/>
      <c r="AC835" s="60"/>
      <c r="AD835" s="60"/>
      <c r="AE835" s="60"/>
      <c r="AF835" s="60"/>
      <c r="AG835" s="60"/>
      <c r="AH835" s="60"/>
      <c r="AI835" s="60"/>
      <c r="AJ835" s="60"/>
    </row>
    <row r="836" spans="1:36" s="59" customFormat="1" ht="35.25">
      <c r="A836" s="193"/>
      <c r="B836" s="203"/>
      <c r="C836" s="186"/>
      <c r="D836" s="186"/>
      <c r="E836" s="186"/>
      <c r="F836" s="186"/>
      <c r="G836" s="186"/>
      <c r="H836" s="186"/>
      <c r="I836" s="186"/>
      <c r="J836" s="186"/>
      <c r="K836" s="186"/>
      <c r="L836" s="370"/>
      <c r="M836" s="370"/>
      <c r="N836" s="370"/>
      <c r="O836" s="370"/>
      <c r="P836" s="370"/>
      <c r="Q836" s="186"/>
      <c r="R836" s="186"/>
      <c r="S836" s="186"/>
      <c r="T836" s="186"/>
      <c r="U836" s="186"/>
      <c r="V836" s="186"/>
      <c r="W836" s="186"/>
      <c r="X836" s="186"/>
      <c r="Y836" s="186"/>
      <c r="Z836" s="305"/>
      <c r="AA836" s="60"/>
      <c r="AB836" s="60"/>
      <c r="AC836" s="60"/>
      <c r="AD836" s="60"/>
      <c r="AE836" s="60"/>
      <c r="AF836" s="60"/>
      <c r="AG836" s="60"/>
      <c r="AH836" s="60"/>
      <c r="AI836" s="60"/>
      <c r="AJ836" s="60"/>
    </row>
    <row r="837" spans="1:36" s="59" customFormat="1" ht="35.25">
      <c r="A837" s="193"/>
      <c r="B837" s="203"/>
      <c r="C837" s="186"/>
      <c r="D837" s="186"/>
      <c r="E837" s="186"/>
      <c r="F837" s="186"/>
      <c r="G837" s="186"/>
      <c r="H837" s="186"/>
      <c r="I837" s="186"/>
      <c r="J837" s="186"/>
      <c r="K837" s="186"/>
      <c r="L837" s="370"/>
      <c r="M837" s="370"/>
      <c r="N837" s="370"/>
      <c r="O837" s="370"/>
      <c r="P837" s="370"/>
      <c r="Q837" s="186"/>
      <c r="R837" s="186"/>
      <c r="S837" s="186"/>
      <c r="T837" s="186"/>
      <c r="U837" s="186"/>
      <c r="V837" s="186"/>
      <c r="W837" s="186"/>
      <c r="X837" s="186"/>
      <c r="Y837" s="186"/>
      <c r="Z837" s="305"/>
      <c r="AA837" s="60"/>
      <c r="AB837" s="60"/>
      <c r="AC837" s="60"/>
      <c r="AD837" s="60"/>
      <c r="AE837" s="60"/>
      <c r="AF837" s="60"/>
      <c r="AG837" s="60"/>
      <c r="AH837" s="60"/>
      <c r="AI837" s="60"/>
      <c r="AJ837" s="60"/>
    </row>
    <row r="838" spans="1:36" s="59" customFormat="1" ht="35.25">
      <c r="A838" s="193"/>
      <c r="B838" s="203"/>
      <c r="C838" s="186"/>
      <c r="D838" s="186"/>
      <c r="E838" s="186"/>
      <c r="F838" s="186"/>
      <c r="G838" s="186"/>
      <c r="H838" s="186"/>
      <c r="I838" s="186"/>
      <c r="J838" s="186"/>
      <c r="K838" s="186"/>
      <c r="L838" s="370"/>
      <c r="M838" s="370"/>
      <c r="N838" s="370"/>
      <c r="O838" s="370"/>
      <c r="P838" s="370"/>
      <c r="Q838" s="186"/>
      <c r="R838" s="186"/>
      <c r="S838" s="186"/>
      <c r="T838" s="186"/>
      <c r="U838" s="186"/>
      <c r="V838" s="186"/>
      <c r="W838" s="186"/>
      <c r="X838" s="186"/>
      <c r="Y838" s="186"/>
      <c r="Z838" s="305"/>
      <c r="AA838" s="60"/>
      <c r="AB838" s="60"/>
      <c r="AC838" s="60"/>
      <c r="AD838" s="60"/>
      <c r="AE838" s="60"/>
      <c r="AF838" s="60"/>
      <c r="AG838" s="60"/>
      <c r="AH838" s="60"/>
      <c r="AI838" s="60"/>
      <c r="AJ838" s="60"/>
    </row>
    <row r="839" spans="1:36" s="59" customFormat="1" ht="35.25">
      <c r="A839" s="193"/>
      <c r="B839" s="203"/>
      <c r="C839" s="186"/>
      <c r="D839" s="186"/>
      <c r="E839" s="186"/>
      <c r="F839" s="186"/>
      <c r="G839" s="186"/>
      <c r="H839" s="186"/>
      <c r="I839" s="186"/>
      <c r="J839" s="186"/>
      <c r="K839" s="186"/>
      <c r="L839" s="370"/>
      <c r="M839" s="370"/>
      <c r="N839" s="370"/>
      <c r="O839" s="370"/>
      <c r="P839" s="370"/>
      <c r="Q839" s="186"/>
      <c r="R839" s="186"/>
      <c r="S839" s="186"/>
      <c r="T839" s="186"/>
      <c r="U839" s="186"/>
      <c r="V839" s="186"/>
      <c r="W839" s="186"/>
      <c r="X839" s="186"/>
      <c r="Y839" s="186"/>
      <c r="Z839" s="305"/>
      <c r="AA839" s="60"/>
      <c r="AB839" s="60"/>
      <c r="AC839" s="60"/>
      <c r="AD839" s="60"/>
      <c r="AE839" s="60"/>
      <c r="AF839" s="60"/>
      <c r="AG839" s="60"/>
      <c r="AH839" s="60"/>
      <c r="AI839" s="60"/>
      <c r="AJ839" s="60"/>
    </row>
    <row r="840" spans="1:36" s="59" customFormat="1" ht="35.25">
      <c r="A840" s="193"/>
      <c r="B840" s="203"/>
      <c r="C840" s="186"/>
      <c r="D840" s="186"/>
      <c r="E840" s="186"/>
      <c r="F840" s="186"/>
      <c r="G840" s="186"/>
      <c r="H840" s="186"/>
      <c r="I840" s="186"/>
      <c r="J840" s="186"/>
      <c r="K840" s="186"/>
      <c r="L840" s="370"/>
      <c r="M840" s="370"/>
      <c r="N840" s="370"/>
      <c r="O840" s="370"/>
      <c r="P840" s="370"/>
      <c r="Q840" s="186"/>
      <c r="R840" s="186"/>
      <c r="S840" s="186"/>
      <c r="T840" s="186"/>
      <c r="U840" s="186"/>
      <c r="V840" s="186"/>
      <c r="W840" s="186"/>
      <c r="X840" s="186"/>
      <c r="Y840" s="186"/>
      <c r="Z840" s="305"/>
      <c r="AA840" s="60"/>
      <c r="AB840" s="60"/>
      <c r="AC840" s="60"/>
      <c r="AD840" s="60"/>
      <c r="AE840" s="60"/>
      <c r="AF840" s="60"/>
      <c r="AG840" s="60"/>
      <c r="AH840" s="60"/>
      <c r="AI840" s="60"/>
      <c r="AJ840" s="60"/>
    </row>
    <row r="841" spans="1:36" s="59" customFormat="1" ht="35.25">
      <c r="A841" s="193"/>
      <c r="B841" s="203"/>
      <c r="C841" s="186"/>
      <c r="D841" s="186"/>
      <c r="E841" s="186"/>
      <c r="F841" s="186"/>
      <c r="G841" s="186"/>
      <c r="H841" s="186"/>
      <c r="I841" s="186"/>
      <c r="J841" s="186"/>
      <c r="K841" s="186"/>
      <c r="L841" s="370"/>
      <c r="M841" s="370"/>
      <c r="N841" s="370"/>
      <c r="O841" s="370"/>
      <c r="P841" s="370"/>
      <c r="Q841" s="186"/>
      <c r="R841" s="186"/>
      <c r="S841" s="186"/>
      <c r="T841" s="186"/>
      <c r="U841" s="186"/>
      <c r="V841" s="186"/>
      <c r="W841" s="186"/>
      <c r="X841" s="186"/>
      <c r="Y841" s="186"/>
      <c r="Z841" s="305"/>
      <c r="AA841" s="60"/>
      <c r="AB841" s="60"/>
      <c r="AC841" s="60"/>
      <c r="AD841" s="60"/>
      <c r="AE841" s="60"/>
      <c r="AF841" s="60"/>
      <c r="AG841" s="60"/>
      <c r="AH841" s="60"/>
      <c r="AI841" s="60"/>
      <c r="AJ841" s="60"/>
    </row>
    <row r="842" spans="1:36" s="59" customFormat="1" ht="35.25">
      <c r="A842" s="193"/>
      <c r="B842" s="203"/>
      <c r="C842" s="186"/>
      <c r="D842" s="186"/>
      <c r="E842" s="186"/>
      <c r="F842" s="186"/>
      <c r="G842" s="186"/>
      <c r="H842" s="186"/>
      <c r="I842" s="186"/>
      <c r="J842" s="186"/>
      <c r="K842" s="186"/>
      <c r="L842" s="370"/>
      <c r="M842" s="370"/>
      <c r="N842" s="370"/>
      <c r="O842" s="370"/>
      <c r="P842" s="370"/>
      <c r="Q842" s="186"/>
      <c r="R842" s="186"/>
      <c r="S842" s="186"/>
      <c r="T842" s="186"/>
      <c r="U842" s="186"/>
      <c r="V842" s="186"/>
      <c r="W842" s="186"/>
      <c r="X842" s="186"/>
      <c r="Y842" s="186"/>
      <c r="Z842" s="305"/>
      <c r="AA842" s="60"/>
      <c r="AB842" s="60"/>
      <c r="AC842" s="60"/>
      <c r="AD842" s="60"/>
      <c r="AE842" s="60"/>
      <c r="AF842" s="60"/>
      <c r="AG842" s="60"/>
      <c r="AH842" s="60"/>
      <c r="AI842" s="60"/>
      <c r="AJ842" s="60"/>
    </row>
    <row r="843" spans="1:36" s="59" customFormat="1" ht="35.25">
      <c r="A843" s="193"/>
      <c r="B843" s="203"/>
      <c r="C843" s="186"/>
      <c r="D843" s="186"/>
      <c r="E843" s="186"/>
      <c r="F843" s="186"/>
      <c r="G843" s="186"/>
      <c r="H843" s="186"/>
      <c r="I843" s="186"/>
      <c r="J843" s="186"/>
      <c r="K843" s="186"/>
      <c r="L843" s="370"/>
      <c r="M843" s="370"/>
      <c r="N843" s="370"/>
      <c r="O843" s="370"/>
      <c r="P843" s="370"/>
      <c r="Q843" s="186"/>
      <c r="R843" s="186"/>
      <c r="S843" s="186"/>
      <c r="T843" s="186"/>
      <c r="U843" s="186"/>
      <c r="V843" s="186"/>
      <c r="W843" s="186"/>
      <c r="X843" s="186"/>
      <c r="Y843" s="186"/>
      <c r="Z843" s="305"/>
      <c r="AA843" s="60"/>
      <c r="AB843" s="60"/>
      <c r="AC843" s="60"/>
      <c r="AD843" s="60"/>
      <c r="AE843" s="60"/>
      <c r="AF843" s="60"/>
      <c r="AG843" s="60"/>
      <c r="AH843" s="60"/>
      <c r="AI843" s="60"/>
      <c r="AJ843" s="60"/>
    </row>
    <row r="844" spans="1:36" s="59" customFormat="1" ht="35.25">
      <c r="A844" s="193"/>
      <c r="B844" s="203"/>
      <c r="C844" s="186"/>
      <c r="D844" s="186"/>
      <c r="E844" s="186"/>
      <c r="F844" s="186"/>
      <c r="G844" s="186"/>
      <c r="H844" s="186"/>
      <c r="I844" s="186"/>
      <c r="J844" s="186"/>
      <c r="K844" s="186"/>
      <c r="L844" s="370"/>
      <c r="M844" s="370"/>
      <c r="N844" s="370"/>
      <c r="O844" s="370"/>
      <c r="P844" s="370"/>
      <c r="Q844" s="186"/>
      <c r="R844" s="186"/>
      <c r="S844" s="186"/>
      <c r="T844" s="186"/>
      <c r="U844" s="186"/>
      <c r="V844" s="186"/>
      <c r="W844" s="186"/>
      <c r="X844" s="186"/>
      <c r="Y844" s="186"/>
      <c r="Z844" s="305"/>
      <c r="AA844" s="60"/>
      <c r="AB844" s="60"/>
      <c r="AC844" s="60"/>
      <c r="AD844" s="60"/>
      <c r="AE844" s="60"/>
      <c r="AF844" s="60"/>
      <c r="AG844" s="60"/>
      <c r="AH844" s="60"/>
      <c r="AI844" s="60"/>
      <c r="AJ844" s="60"/>
    </row>
    <row r="845" spans="1:36" s="59" customFormat="1" ht="35.25">
      <c r="A845" s="193"/>
      <c r="B845" s="203"/>
      <c r="C845" s="186"/>
      <c r="D845" s="186"/>
      <c r="E845" s="186"/>
      <c r="F845" s="186"/>
      <c r="G845" s="186"/>
      <c r="H845" s="186"/>
      <c r="I845" s="186"/>
      <c r="J845" s="186"/>
      <c r="K845" s="186"/>
      <c r="L845" s="370"/>
      <c r="M845" s="370"/>
      <c r="N845" s="370"/>
      <c r="O845" s="370"/>
      <c r="P845" s="370"/>
      <c r="Q845" s="186"/>
      <c r="R845" s="186"/>
      <c r="S845" s="186"/>
      <c r="T845" s="186"/>
      <c r="U845" s="186"/>
      <c r="V845" s="186"/>
      <c r="W845" s="186"/>
      <c r="X845" s="186"/>
      <c r="Y845" s="186"/>
      <c r="Z845" s="305"/>
      <c r="AA845" s="60"/>
      <c r="AB845" s="60"/>
      <c r="AC845" s="60"/>
      <c r="AD845" s="60"/>
      <c r="AE845" s="60"/>
      <c r="AF845" s="60"/>
      <c r="AG845" s="60"/>
      <c r="AH845" s="60"/>
      <c r="AI845" s="60"/>
      <c r="AJ845" s="60"/>
    </row>
    <row r="846" spans="1:36" s="59" customFormat="1" ht="35.25">
      <c r="A846" s="193"/>
      <c r="B846" s="203"/>
      <c r="C846" s="186"/>
      <c r="D846" s="186"/>
      <c r="E846" s="186"/>
      <c r="F846" s="186"/>
      <c r="G846" s="186"/>
      <c r="H846" s="186"/>
      <c r="I846" s="186"/>
      <c r="J846" s="186"/>
      <c r="K846" s="186"/>
      <c r="L846" s="370"/>
      <c r="M846" s="370"/>
      <c r="N846" s="370"/>
      <c r="O846" s="370"/>
      <c r="P846" s="370"/>
      <c r="Q846" s="186"/>
      <c r="R846" s="186"/>
      <c r="S846" s="186"/>
      <c r="T846" s="186"/>
      <c r="U846" s="186"/>
      <c r="V846" s="186"/>
      <c r="W846" s="186"/>
      <c r="X846" s="186"/>
      <c r="Y846" s="186"/>
      <c r="Z846" s="305"/>
      <c r="AA846" s="60"/>
      <c r="AB846" s="60"/>
      <c r="AC846" s="60"/>
      <c r="AD846" s="60"/>
      <c r="AE846" s="60"/>
      <c r="AF846" s="60"/>
      <c r="AG846" s="60"/>
      <c r="AH846" s="60"/>
      <c r="AI846" s="60"/>
      <c r="AJ846" s="60"/>
    </row>
    <row r="847" spans="1:36" s="59" customFormat="1" ht="35.25">
      <c r="A847" s="193"/>
      <c r="B847" s="203"/>
      <c r="C847" s="186"/>
      <c r="D847" s="186"/>
      <c r="E847" s="186"/>
      <c r="F847" s="186"/>
      <c r="G847" s="186"/>
      <c r="H847" s="186"/>
      <c r="I847" s="186"/>
      <c r="J847" s="186"/>
      <c r="K847" s="186"/>
      <c r="L847" s="370"/>
      <c r="M847" s="370"/>
      <c r="N847" s="370"/>
      <c r="O847" s="370"/>
      <c r="P847" s="370"/>
      <c r="Q847" s="186"/>
      <c r="R847" s="186"/>
      <c r="S847" s="186"/>
      <c r="T847" s="186"/>
      <c r="U847" s="186"/>
      <c r="V847" s="186"/>
      <c r="W847" s="186"/>
      <c r="X847" s="186"/>
      <c r="Y847" s="186"/>
      <c r="Z847" s="305"/>
      <c r="AA847" s="60"/>
      <c r="AB847" s="60"/>
      <c r="AC847" s="60"/>
      <c r="AD847" s="60"/>
      <c r="AE847" s="60"/>
      <c r="AF847" s="60"/>
      <c r="AG847" s="60"/>
      <c r="AH847" s="60"/>
      <c r="AI847" s="60"/>
      <c r="AJ847" s="60"/>
    </row>
    <row r="848" spans="1:36" s="59" customFormat="1" ht="35.25">
      <c r="A848" s="193"/>
      <c r="B848" s="203"/>
      <c r="C848" s="186"/>
      <c r="D848" s="186"/>
      <c r="E848" s="186"/>
      <c r="F848" s="186"/>
      <c r="G848" s="186"/>
      <c r="H848" s="186"/>
      <c r="I848" s="186"/>
      <c r="J848" s="186"/>
      <c r="K848" s="186"/>
      <c r="L848" s="370"/>
      <c r="M848" s="370"/>
      <c r="N848" s="370"/>
      <c r="O848" s="370"/>
      <c r="P848" s="370"/>
      <c r="Q848" s="186"/>
      <c r="R848" s="186"/>
      <c r="S848" s="186"/>
      <c r="T848" s="186"/>
      <c r="U848" s="186"/>
      <c r="V848" s="186"/>
      <c r="W848" s="186"/>
      <c r="X848" s="186"/>
      <c r="Y848" s="186"/>
      <c r="Z848" s="305"/>
      <c r="AA848" s="60"/>
      <c r="AB848" s="60"/>
      <c r="AC848" s="60"/>
      <c r="AD848" s="60"/>
      <c r="AE848" s="60"/>
      <c r="AF848" s="60"/>
      <c r="AG848" s="60"/>
      <c r="AH848" s="60"/>
      <c r="AI848" s="60"/>
      <c r="AJ848" s="60"/>
    </row>
    <row r="849" spans="1:36" s="59" customFormat="1" ht="35.25">
      <c r="A849" s="193"/>
      <c r="B849" s="203"/>
      <c r="C849" s="186"/>
      <c r="D849" s="186"/>
      <c r="E849" s="186"/>
      <c r="F849" s="186"/>
      <c r="G849" s="186"/>
      <c r="H849" s="186"/>
      <c r="I849" s="186"/>
      <c r="J849" s="186"/>
      <c r="K849" s="186"/>
      <c r="L849" s="370"/>
      <c r="M849" s="370"/>
      <c r="N849" s="370"/>
      <c r="O849" s="370"/>
      <c r="P849" s="370"/>
      <c r="Q849" s="186"/>
      <c r="R849" s="186"/>
      <c r="S849" s="186"/>
      <c r="T849" s="186"/>
      <c r="U849" s="186"/>
      <c r="V849" s="186"/>
      <c r="W849" s="186"/>
      <c r="X849" s="186"/>
      <c r="Y849" s="186"/>
      <c r="Z849" s="305"/>
      <c r="AA849" s="60"/>
      <c r="AB849" s="60"/>
      <c r="AC849" s="60"/>
      <c r="AD849" s="60"/>
      <c r="AE849" s="60"/>
      <c r="AF849" s="60"/>
      <c r="AG849" s="60"/>
      <c r="AH849" s="60"/>
      <c r="AI849" s="60"/>
      <c r="AJ849" s="60"/>
    </row>
    <row r="850" spans="1:36" s="59" customFormat="1" ht="35.25">
      <c r="A850" s="193"/>
      <c r="B850" s="203"/>
      <c r="C850" s="186"/>
      <c r="D850" s="186"/>
      <c r="E850" s="186"/>
      <c r="F850" s="186"/>
      <c r="G850" s="186"/>
      <c r="H850" s="186"/>
      <c r="I850" s="186"/>
      <c r="J850" s="186"/>
      <c r="K850" s="186"/>
      <c r="L850" s="370"/>
      <c r="M850" s="370"/>
      <c r="N850" s="370"/>
      <c r="O850" s="370"/>
      <c r="P850" s="370"/>
      <c r="Q850" s="186"/>
      <c r="R850" s="186"/>
      <c r="S850" s="186"/>
      <c r="T850" s="186"/>
      <c r="U850" s="186"/>
      <c r="V850" s="186"/>
      <c r="W850" s="186"/>
      <c r="X850" s="186"/>
      <c r="Y850" s="186"/>
      <c r="Z850" s="305"/>
      <c r="AA850" s="60"/>
      <c r="AB850" s="60"/>
      <c r="AC850" s="60"/>
      <c r="AD850" s="60"/>
      <c r="AE850" s="60"/>
      <c r="AF850" s="60"/>
      <c r="AG850" s="60"/>
      <c r="AH850" s="60"/>
      <c r="AI850" s="60"/>
      <c r="AJ850" s="60"/>
    </row>
    <row r="851" spans="1:36" s="59" customFormat="1" ht="35.25">
      <c r="A851" s="193"/>
      <c r="B851" s="203"/>
      <c r="C851" s="186"/>
      <c r="D851" s="186"/>
      <c r="E851" s="186"/>
      <c r="F851" s="186"/>
      <c r="G851" s="186"/>
      <c r="H851" s="186"/>
      <c r="I851" s="186"/>
      <c r="J851" s="186"/>
      <c r="K851" s="186"/>
      <c r="L851" s="370"/>
      <c r="M851" s="370"/>
      <c r="N851" s="370"/>
      <c r="O851" s="370"/>
      <c r="P851" s="370"/>
      <c r="Q851" s="186"/>
      <c r="R851" s="186"/>
      <c r="S851" s="186"/>
      <c r="T851" s="186"/>
      <c r="U851" s="186"/>
      <c r="V851" s="186"/>
      <c r="W851" s="186"/>
      <c r="X851" s="186"/>
      <c r="Y851" s="186"/>
      <c r="Z851" s="305"/>
      <c r="AA851" s="60"/>
      <c r="AB851" s="60"/>
      <c r="AC851" s="60"/>
      <c r="AD851" s="60"/>
      <c r="AE851" s="60"/>
      <c r="AF851" s="60"/>
      <c r="AG851" s="60"/>
      <c r="AH851" s="60"/>
      <c r="AI851" s="60"/>
      <c r="AJ851" s="60"/>
    </row>
    <row r="852" spans="1:36" s="59" customFormat="1" ht="35.25">
      <c r="A852" s="193"/>
      <c r="B852" s="203"/>
      <c r="C852" s="186"/>
      <c r="D852" s="186"/>
      <c r="E852" s="186"/>
      <c r="F852" s="186"/>
      <c r="G852" s="186"/>
      <c r="H852" s="186"/>
      <c r="I852" s="186"/>
      <c r="J852" s="186"/>
      <c r="K852" s="186"/>
      <c r="L852" s="370"/>
      <c r="M852" s="370"/>
      <c r="N852" s="370"/>
      <c r="O852" s="370"/>
      <c r="P852" s="370"/>
      <c r="Q852" s="186"/>
      <c r="R852" s="186"/>
      <c r="S852" s="186"/>
      <c r="T852" s="186"/>
      <c r="U852" s="186"/>
      <c r="V852" s="186"/>
      <c r="W852" s="186"/>
      <c r="X852" s="186"/>
      <c r="Y852" s="186"/>
      <c r="Z852" s="305"/>
      <c r="AA852" s="60"/>
      <c r="AB852" s="60"/>
      <c r="AC852" s="60"/>
      <c r="AD852" s="60"/>
      <c r="AE852" s="60"/>
      <c r="AF852" s="60"/>
      <c r="AG852" s="60"/>
      <c r="AH852" s="60"/>
      <c r="AI852" s="60"/>
      <c r="AJ852" s="60"/>
    </row>
    <row r="853" spans="1:36" s="59" customFormat="1" ht="35.25">
      <c r="A853" s="193"/>
      <c r="B853" s="203"/>
      <c r="C853" s="186"/>
      <c r="D853" s="186"/>
      <c r="E853" s="186"/>
      <c r="F853" s="186"/>
      <c r="G853" s="186"/>
      <c r="H853" s="186"/>
      <c r="I853" s="186"/>
      <c r="J853" s="186"/>
      <c r="K853" s="186"/>
      <c r="L853" s="370"/>
      <c r="M853" s="370"/>
      <c r="N853" s="370"/>
      <c r="O853" s="370"/>
      <c r="P853" s="370"/>
      <c r="Q853" s="186"/>
      <c r="R853" s="186"/>
      <c r="S853" s="186"/>
      <c r="T853" s="186"/>
      <c r="U853" s="186"/>
      <c r="V853" s="186"/>
      <c r="W853" s="186"/>
      <c r="X853" s="186"/>
      <c r="Y853" s="186"/>
      <c r="Z853" s="305"/>
      <c r="AA853" s="60"/>
      <c r="AB853" s="60"/>
      <c r="AC853" s="60"/>
      <c r="AD853" s="60"/>
      <c r="AE853" s="60"/>
      <c r="AF853" s="60"/>
      <c r="AG853" s="60"/>
      <c r="AH853" s="60"/>
      <c r="AI853" s="60"/>
      <c r="AJ853" s="60"/>
    </row>
    <row r="854" spans="1:36" s="59" customFormat="1" ht="35.25">
      <c r="A854" s="193"/>
      <c r="B854" s="203"/>
      <c r="C854" s="186"/>
      <c r="D854" s="186"/>
      <c r="E854" s="186"/>
      <c r="F854" s="186"/>
      <c r="G854" s="186"/>
      <c r="H854" s="186"/>
      <c r="I854" s="186"/>
      <c r="J854" s="186"/>
      <c r="K854" s="186"/>
      <c r="L854" s="370"/>
      <c r="M854" s="370"/>
      <c r="N854" s="370"/>
      <c r="O854" s="370"/>
      <c r="P854" s="370"/>
      <c r="Q854" s="186"/>
      <c r="R854" s="186"/>
      <c r="S854" s="186"/>
      <c r="T854" s="186"/>
      <c r="U854" s="186"/>
      <c r="V854" s="186"/>
      <c r="W854" s="186"/>
      <c r="X854" s="186"/>
      <c r="Y854" s="186"/>
      <c r="Z854" s="305"/>
      <c r="AA854" s="60"/>
      <c r="AB854" s="60"/>
      <c r="AC854" s="60"/>
      <c r="AD854" s="60"/>
      <c r="AE854" s="60"/>
      <c r="AF854" s="60"/>
      <c r="AG854" s="60"/>
      <c r="AH854" s="60"/>
      <c r="AI854" s="60"/>
      <c r="AJ854" s="60"/>
    </row>
    <row r="855" spans="1:36" s="59" customFormat="1" ht="35.25">
      <c r="A855" s="193"/>
      <c r="B855" s="203"/>
      <c r="C855" s="186"/>
      <c r="D855" s="186"/>
      <c r="E855" s="186"/>
      <c r="F855" s="186"/>
      <c r="G855" s="186"/>
      <c r="H855" s="186"/>
      <c r="I855" s="186"/>
      <c r="J855" s="186"/>
      <c r="K855" s="186"/>
      <c r="L855" s="370"/>
      <c r="M855" s="370"/>
      <c r="N855" s="370"/>
      <c r="O855" s="370"/>
      <c r="P855" s="370"/>
      <c r="Q855" s="186"/>
      <c r="R855" s="186"/>
      <c r="S855" s="186"/>
      <c r="T855" s="186"/>
      <c r="U855" s="186"/>
      <c r="V855" s="186"/>
      <c r="W855" s="186"/>
      <c r="X855" s="186"/>
      <c r="Y855" s="186"/>
      <c r="Z855" s="305"/>
      <c r="AA855" s="60"/>
      <c r="AB855" s="60"/>
      <c r="AC855" s="60"/>
      <c r="AD855" s="60"/>
      <c r="AE855" s="60"/>
      <c r="AF855" s="60"/>
      <c r="AG855" s="60"/>
      <c r="AH855" s="60"/>
      <c r="AI855" s="60"/>
      <c r="AJ855" s="60"/>
    </row>
    <row r="856" spans="1:36" s="59" customFormat="1" ht="35.25">
      <c r="A856" s="193"/>
      <c r="B856" s="203"/>
      <c r="C856" s="186"/>
      <c r="D856" s="186"/>
      <c r="E856" s="186"/>
      <c r="F856" s="186"/>
      <c r="G856" s="186"/>
      <c r="H856" s="186"/>
      <c r="I856" s="186"/>
      <c r="J856" s="186"/>
      <c r="K856" s="186"/>
      <c r="L856" s="370"/>
      <c r="M856" s="370"/>
      <c r="N856" s="370"/>
      <c r="O856" s="370"/>
      <c r="P856" s="370"/>
      <c r="Q856" s="186"/>
      <c r="R856" s="186"/>
      <c r="S856" s="186"/>
      <c r="T856" s="186"/>
      <c r="U856" s="186"/>
      <c r="V856" s="186"/>
      <c r="W856" s="186"/>
      <c r="X856" s="186"/>
      <c r="Y856" s="186"/>
      <c r="Z856" s="305"/>
      <c r="AA856" s="60"/>
      <c r="AB856" s="60"/>
      <c r="AC856" s="60"/>
      <c r="AD856" s="60"/>
      <c r="AE856" s="60"/>
      <c r="AF856" s="60"/>
      <c r="AG856" s="60"/>
      <c r="AH856" s="60"/>
      <c r="AI856" s="60"/>
      <c r="AJ856" s="60"/>
    </row>
    <row r="857" spans="1:36" s="59" customFormat="1" ht="35.25">
      <c r="A857" s="193"/>
      <c r="B857" s="203"/>
      <c r="C857" s="186"/>
      <c r="D857" s="186"/>
      <c r="E857" s="186"/>
      <c r="F857" s="186"/>
      <c r="G857" s="186"/>
      <c r="H857" s="186"/>
      <c r="I857" s="186"/>
      <c r="J857" s="186"/>
      <c r="K857" s="186"/>
      <c r="L857" s="370"/>
      <c r="M857" s="370"/>
      <c r="N857" s="370"/>
      <c r="O857" s="370"/>
      <c r="P857" s="370"/>
      <c r="Q857" s="186"/>
      <c r="R857" s="186"/>
      <c r="S857" s="186"/>
      <c r="T857" s="186"/>
      <c r="U857" s="186"/>
      <c r="V857" s="186"/>
      <c r="W857" s="186"/>
      <c r="X857" s="186"/>
      <c r="Y857" s="186"/>
      <c r="Z857" s="305"/>
      <c r="AA857" s="60"/>
      <c r="AB857" s="60"/>
      <c r="AC857" s="60"/>
      <c r="AD857" s="60"/>
      <c r="AE857" s="60"/>
      <c r="AF857" s="60"/>
      <c r="AG857" s="60"/>
      <c r="AH857" s="60"/>
      <c r="AI857" s="60"/>
      <c r="AJ857" s="60"/>
    </row>
    <row r="858" spans="1:36" s="59" customFormat="1" ht="35.25">
      <c r="A858" s="193"/>
      <c r="B858" s="203"/>
      <c r="C858" s="186"/>
      <c r="D858" s="186"/>
      <c r="E858" s="186"/>
      <c r="F858" s="186"/>
      <c r="G858" s="186"/>
      <c r="H858" s="186"/>
      <c r="I858" s="186"/>
      <c r="J858" s="186"/>
      <c r="K858" s="186"/>
      <c r="L858" s="370"/>
      <c r="M858" s="370"/>
      <c r="N858" s="370"/>
      <c r="O858" s="370"/>
      <c r="P858" s="370"/>
      <c r="Q858" s="186"/>
      <c r="R858" s="186"/>
      <c r="S858" s="186"/>
      <c r="T858" s="186"/>
      <c r="U858" s="186"/>
      <c r="V858" s="186"/>
      <c r="W858" s="186"/>
      <c r="X858" s="186"/>
      <c r="Y858" s="186"/>
      <c r="Z858" s="305"/>
      <c r="AA858" s="60"/>
      <c r="AB858" s="60"/>
      <c r="AC858" s="60"/>
      <c r="AD858" s="60"/>
      <c r="AE858" s="60"/>
      <c r="AF858" s="60"/>
      <c r="AG858" s="60"/>
      <c r="AH858" s="60"/>
      <c r="AI858" s="60"/>
      <c r="AJ858" s="60"/>
    </row>
    <row r="859" spans="1:36" s="59" customFormat="1" ht="35.25">
      <c r="A859" s="193"/>
      <c r="B859" s="203"/>
      <c r="C859" s="186"/>
      <c r="D859" s="186"/>
      <c r="E859" s="186"/>
      <c r="F859" s="186"/>
      <c r="G859" s="186"/>
      <c r="H859" s="186"/>
      <c r="I859" s="186"/>
      <c r="J859" s="186"/>
      <c r="K859" s="186"/>
      <c r="L859" s="370"/>
      <c r="M859" s="370"/>
      <c r="N859" s="370"/>
      <c r="O859" s="370"/>
      <c r="P859" s="370"/>
      <c r="Q859" s="186"/>
      <c r="R859" s="186"/>
      <c r="S859" s="186"/>
      <c r="T859" s="186"/>
      <c r="U859" s="186"/>
      <c r="V859" s="186"/>
      <c r="W859" s="186"/>
      <c r="X859" s="186"/>
      <c r="Y859" s="186"/>
      <c r="Z859" s="305"/>
      <c r="AA859" s="60"/>
      <c r="AB859" s="60"/>
      <c r="AC859" s="60"/>
      <c r="AD859" s="60"/>
      <c r="AE859" s="60"/>
      <c r="AF859" s="60"/>
      <c r="AG859" s="60"/>
      <c r="AH859" s="60"/>
      <c r="AI859" s="60"/>
      <c r="AJ859" s="60"/>
    </row>
    <row r="860" spans="1:36" s="59" customFormat="1" ht="35.25">
      <c r="A860" s="193"/>
      <c r="B860" s="203"/>
      <c r="C860" s="186"/>
      <c r="D860" s="186"/>
      <c r="E860" s="186"/>
      <c r="F860" s="186"/>
      <c r="G860" s="186"/>
      <c r="H860" s="186"/>
      <c r="I860" s="186"/>
      <c r="J860" s="186"/>
      <c r="K860" s="186"/>
      <c r="L860" s="370"/>
      <c r="M860" s="370"/>
      <c r="N860" s="370"/>
      <c r="O860" s="370"/>
      <c r="P860" s="370"/>
      <c r="Q860" s="186"/>
      <c r="R860" s="186"/>
      <c r="S860" s="186"/>
      <c r="T860" s="186"/>
      <c r="U860" s="186"/>
      <c r="V860" s="186"/>
      <c r="W860" s="186"/>
      <c r="X860" s="186"/>
      <c r="Y860" s="186"/>
      <c r="Z860" s="305"/>
      <c r="AA860" s="60"/>
      <c r="AB860" s="60"/>
      <c r="AC860" s="60"/>
      <c r="AD860" s="60"/>
      <c r="AE860" s="60"/>
      <c r="AF860" s="60"/>
      <c r="AG860" s="60"/>
      <c r="AH860" s="60"/>
      <c r="AI860" s="60"/>
      <c r="AJ860" s="60"/>
    </row>
    <row r="861" spans="1:36" s="59" customFormat="1" ht="35.25">
      <c r="A861" s="193"/>
      <c r="B861" s="203"/>
      <c r="C861" s="186"/>
      <c r="D861" s="186"/>
      <c r="E861" s="186"/>
      <c r="F861" s="186"/>
      <c r="G861" s="186"/>
      <c r="H861" s="186"/>
      <c r="I861" s="186"/>
      <c r="J861" s="186"/>
      <c r="K861" s="186"/>
      <c r="L861" s="370"/>
      <c r="M861" s="370"/>
      <c r="N861" s="370"/>
      <c r="O861" s="370"/>
      <c r="P861" s="370"/>
      <c r="Q861" s="186"/>
      <c r="R861" s="186"/>
      <c r="S861" s="186"/>
      <c r="T861" s="186"/>
      <c r="U861" s="186"/>
      <c r="V861" s="186"/>
      <c r="W861" s="186"/>
      <c r="X861" s="186"/>
      <c r="Y861" s="186"/>
      <c r="Z861" s="305"/>
      <c r="AA861" s="60"/>
      <c r="AB861" s="60"/>
      <c r="AC861" s="60"/>
      <c r="AD861" s="60"/>
      <c r="AE861" s="60"/>
      <c r="AF861" s="60"/>
      <c r="AG861" s="60"/>
      <c r="AH861" s="60"/>
      <c r="AI861" s="60"/>
      <c r="AJ861" s="60"/>
    </row>
    <row r="862" spans="1:36" s="59" customFormat="1" ht="35.25">
      <c r="A862" s="193"/>
      <c r="B862" s="203"/>
      <c r="C862" s="186"/>
      <c r="D862" s="186"/>
      <c r="E862" s="186"/>
      <c r="F862" s="186"/>
      <c r="G862" s="186"/>
      <c r="H862" s="186"/>
      <c r="I862" s="186"/>
      <c r="J862" s="186"/>
      <c r="K862" s="186"/>
      <c r="L862" s="370"/>
      <c r="M862" s="370"/>
      <c r="N862" s="370"/>
      <c r="O862" s="370"/>
      <c r="P862" s="370"/>
      <c r="Q862" s="186"/>
      <c r="R862" s="186"/>
      <c r="S862" s="186"/>
      <c r="T862" s="186"/>
      <c r="U862" s="186"/>
      <c r="V862" s="186"/>
      <c r="W862" s="186"/>
      <c r="X862" s="186"/>
      <c r="Y862" s="186"/>
      <c r="Z862" s="305"/>
      <c r="AA862" s="60"/>
      <c r="AB862" s="60"/>
      <c r="AC862" s="60"/>
      <c r="AD862" s="60"/>
      <c r="AE862" s="60"/>
      <c r="AF862" s="60"/>
      <c r="AG862" s="60"/>
      <c r="AH862" s="60"/>
      <c r="AI862" s="60"/>
      <c r="AJ862" s="60"/>
    </row>
    <row r="863" spans="1:36" s="59" customFormat="1" ht="35.25">
      <c r="A863" s="193"/>
      <c r="B863" s="203"/>
      <c r="C863" s="186"/>
      <c r="D863" s="186"/>
      <c r="E863" s="186"/>
      <c r="F863" s="186"/>
      <c r="G863" s="186"/>
      <c r="H863" s="186"/>
      <c r="I863" s="186"/>
      <c r="J863" s="186"/>
      <c r="K863" s="186"/>
      <c r="L863" s="370"/>
      <c r="M863" s="370"/>
      <c r="N863" s="370"/>
      <c r="O863" s="370"/>
      <c r="P863" s="370"/>
      <c r="Q863" s="186"/>
      <c r="R863" s="186"/>
      <c r="S863" s="186"/>
      <c r="T863" s="186"/>
      <c r="U863" s="186"/>
      <c r="V863" s="186"/>
      <c r="W863" s="186"/>
      <c r="X863" s="186"/>
      <c r="Y863" s="186"/>
      <c r="Z863" s="305"/>
      <c r="AA863" s="60"/>
      <c r="AB863" s="60"/>
      <c r="AC863" s="60"/>
      <c r="AD863" s="60"/>
      <c r="AE863" s="60"/>
      <c r="AF863" s="60"/>
      <c r="AG863" s="60"/>
      <c r="AH863" s="60"/>
      <c r="AI863" s="60"/>
      <c r="AJ863" s="60"/>
    </row>
    <row r="864" spans="1:36" s="59" customFormat="1" ht="35.25">
      <c r="A864" s="193"/>
      <c r="B864" s="203"/>
      <c r="C864" s="186"/>
      <c r="D864" s="186"/>
      <c r="E864" s="186"/>
      <c r="F864" s="186"/>
      <c r="G864" s="186"/>
      <c r="H864" s="186"/>
      <c r="I864" s="186"/>
      <c r="J864" s="186"/>
      <c r="K864" s="186"/>
      <c r="L864" s="370"/>
      <c r="M864" s="370"/>
      <c r="N864" s="370"/>
      <c r="O864" s="370"/>
      <c r="P864" s="370"/>
      <c r="Q864" s="186"/>
      <c r="R864" s="186"/>
      <c r="S864" s="186"/>
      <c r="T864" s="186"/>
      <c r="U864" s="186"/>
      <c r="V864" s="186"/>
      <c r="W864" s="186"/>
      <c r="X864" s="186"/>
      <c r="Y864" s="186"/>
      <c r="Z864" s="305"/>
      <c r="AA864" s="60"/>
      <c r="AB864" s="60"/>
      <c r="AC864" s="60"/>
      <c r="AD864" s="60"/>
      <c r="AE864" s="60"/>
      <c r="AF864" s="60"/>
      <c r="AG864" s="60"/>
      <c r="AH864" s="60"/>
      <c r="AI864" s="60"/>
      <c r="AJ864" s="60"/>
    </row>
    <row r="865" spans="1:36" s="59" customFormat="1" ht="35.25">
      <c r="A865" s="193"/>
      <c r="B865" s="203"/>
      <c r="C865" s="186"/>
      <c r="D865" s="186"/>
      <c r="E865" s="186"/>
      <c r="F865" s="186"/>
      <c r="G865" s="186"/>
      <c r="H865" s="186"/>
      <c r="I865" s="186"/>
      <c r="J865" s="186"/>
      <c r="K865" s="186"/>
      <c r="L865" s="370"/>
      <c r="M865" s="370"/>
      <c r="N865" s="370"/>
      <c r="O865" s="370"/>
      <c r="P865" s="370"/>
      <c r="Q865" s="186"/>
      <c r="R865" s="186"/>
      <c r="S865" s="186"/>
      <c r="T865" s="186"/>
      <c r="U865" s="186"/>
      <c r="V865" s="186"/>
      <c r="W865" s="186"/>
      <c r="X865" s="186"/>
      <c r="Y865" s="186"/>
      <c r="Z865" s="305"/>
      <c r="AA865" s="60"/>
      <c r="AB865" s="60"/>
      <c r="AC865" s="60"/>
      <c r="AD865" s="60"/>
      <c r="AE865" s="60"/>
      <c r="AF865" s="60"/>
      <c r="AG865" s="60"/>
      <c r="AH865" s="60"/>
      <c r="AI865" s="60"/>
      <c r="AJ865" s="60"/>
    </row>
    <row r="866" spans="1:36" s="59" customFormat="1" ht="35.25">
      <c r="A866" s="193"/>
      <c r="B866" s="203"/>
      <c r="C866" s="186"/>
      <c r="D866" s="186"/>
      <c r="E866" s="186"/>
      <c r="F866" s="186"/>
      <c r="G866" s="186"/>
      <c r="H866" s="186"/>
      <c r="I866" s="186"/>
      <c r="J866" s="186"/>
      <c r="K866" s="186"/>
      <c r="L866" s="370"/>
      <c r="M866" s="370"/>
      <c r="N866" s="370"/>
      <c r="O866" s="370"/>
      <c r="P866" s="370"/>
      <c r="Q866" s="186"/>
      <c r="R866" s="186"/>
      <c r="S866" s="186"/>
      <c r="T866" s="186"/>
      <c r="U866" s="186"/>
      <c r="V866" s="186"/>
      <c r="W866" s="186"/>
      <c r="X866" s="186"/>
      <c r="Y866" s="186"/>
      <c r="Z866" s="305"/>
      <c r="AA866" s="60"/>
      <c r="AB866" s="60"/>
      <c r="AC866" s="60"/>
      <c r="AD866" s="60"/>
      <c r="AE866" s="60"/>
      <c r="AF866" s="60"/>
      <c r="AG866" s="60"/>
      <c r="AH866" s="60"/>
      <c r="AI866" s="60"/>
      <c r="AJ866" s="60"/>
    </row>
    <row r="867" spans="1:36" s="59" customFormat="1" ht="35.25">
      <c r="A867" s="193"/>
      <c r="B867" s="203"/>
      <c r="C867" s="186"/>
      <c r="D867" s="186"/>
      <c r="E867" s="186"/>
      <c r="F867" s="186"/>
      <c r="G867" s="186"/>
      <c r="H867" s="186"/>
      <c r="I867" s="186"/>
      <c r="J867" s="186"/>
      <c r="K867" s="186"/>
      <c r="L867" s="370"/>
      <c r="M867" s="370"/>
      <c r="N867" s="370"/>
      <c r="O867" s="370"/>
      <c r="P867" s="370"/>
      <c r="Q867" s="186"/>
      <c r="R867" s="186"/>
      <c r="S867" s="186"/>
      <c r="T867" s="186"/>
      <c r="U867" s="186"/>
      <c r="V867" s="186"/>
      <c r="W867" s="186"/>
      <c r="X867" s="186"/>
      <c r="Y867" s="186"/>
      <c r="Z867" s="305"/>
      <c r="AA867" s="60"/>
      <c r="AB867" s="60"/>
      <c r="AC867" s="60"/>
      <c r="AD867" s="60"/>
      <c r="AE867" s="60"/>
      <c r="AF867" s="60"/>
      <c r="AG867" s="60"/>
      <c r="AH867" s="60"/>
      <c r="AI867" s="60"/>
      <c r="AJ867" s="60"/>
    </row>
    <row r="868" spans="1:36" s="59" customFormat="1" ht="35.25">
      <c r="A868" s="193"/>
      <c r="B868" s="203"/>
      <c r="C868" s="186"/>
      <c r="D868" s="186"/>
      <c r="E868" s="186"/>
      <c r="F868" s="186"/>
      <c r="G868" s="186"/>
      <c r="H868" s="186"/>
      <c r="I868" s="186"/>
      <c r="J868" s="186"/>
      <c r="K868" s="186"/>
      <c r="L868" s="370"/>
      <c r="M868" s="370"/>
      <c r="N868" s="370"/>
      <c r="O868" s="370"/>
      <c r="P868" s="370"/>
      <c r="Q868" s="186"/>
      <c r="R868" s="186"/>
      <c r="S868" s="186"/>
      <c r="T868" s="186"/>
      <c r="U868" s="186"/>
      <c r="V868" s="186"/>
      <c r="W868" s="186"/>
      <c r="X868" s="186"/>
      <c r="Y868" s="186"/>
      <c r="Z868" s="305"/>
      <c r="AA868" s="60"/>
      <c r="AB868" s="60"/>
      <c r="AC868" s="60"/>
      <c r="AD868" s="60"/>
      <c r="AE868" s="60"/>
      <c r="AF868" s="60"/>
      <c r="AG868" s="60"/>
      <c r="AH868" s="60"/>
      <c r="AI868" s="60"/>
      <c r="AJ868" s="60"/>
    </row>
    <row r="869" spans="1:36" s="59" customFormat="1" ht="35.25">
      <c r="A869" s="193"/>
      <c r="B869" s="203"/>
      <c r="C869" s="186"/>
      <c r="D869" s="186"/>
      <c r="E869" s="186"/>
      <c r="F869" s="186"/>
      <c r="G869" s="186"/>
      <c r="H869" s="186"/>
      <c r="I869" s="186"/>
      <c r="J869" s="186"/>
      <c r="K869" s="186"/>
      <c r="L869" s="370"/>
      <c r="M869" s="370"/>
      <c r="N869" s="370"/>
      <c r="O869" s="370"/>
      <c r="P869" s="370"/>
      <c r="Q869" s="186"/>
      <c r="R869" s="186"/>
      <c r="S869" s="186"/>
      <c r="T869" s="186"/>
      <c r="U869" s="186"/>
      <c r="V869" s="186"/>
      <c r="W869" s="186"/>
      <c r="X869" s="186"/>
      <c r="Y869" s="186"/>
      <c r="Z869" s="305"/>
      <c r="AA869" s="60"/>
      <c r="AB869" s="60"/>
      <c r="AC869" s="60"/>
      <c r="AD869" s="60"/>
      <c r="AE869" s="60"/>
      <c r="AF869" s="60"/>
      <c r="AG869" s="60"/>
      <c r="AH869" s="60"/>
      <c r="AI869" s="60"/>
      <c r="AJ869" s="60"/>
    </row>
    <row r="870" spans="1:36" s="59" customFormat="1" ht="35.25">
      <c r="A870" s="193"/>
      <c r="B870" s="203"/>
      <c r="C870" s="186"/>
      <c r="D870" s="186"/>
      <c r="E870" s="186"/>
      <c r="F870" s="186"/>
      <c r="G870" s="186"/>
      <c r="H870" s="186"/>
      <c r="I870" s="186"/>
      <c r="J870" s="186"/>
      <c r="K870" s="186"/>
      <c r="L870" s="370"/>
      <c r="M870" s="370"/>
      <c r="N870" s="370"/>
      <c r="O870" s="370"/>
      <c r="P870" s="370"/>
      <c r="Q870" s="186"/>
      <c r="R870" s="186"/>
      <c r="S870" s="186"/>
      <c r="T870" s="186"/>
      <c r="U870" s="186"/>
      <c r="V870" s="186"/>
      <c r="W870" s="186"/>
      <c r="X870" s="186"/>
      <c r="Y870" s="186"/>
      <c r="Z870" s="305"/>
      <c r="AA870" s="60"/>
      <c r="AB870" s="60"/>
      <c r="AC870" s="60"/>
      <c r="AD870" s="60"/>
      <c r="AE870" s="60"/>
      <c r="AF870" s="60"/>
      <c r="AG870" s="60"/>
      <c r="AH870" s="60"/>
      <c r="AI870" s="60"/>
      <c r="AJ870" s="60"/>
    </row>
    <row r="871" spans="1:36" s="59" customFormat="1" ht="35.25">
      <c r="A871" s="193"/>
      <c r="B871" s="203"/>
      <c r="C871" s="186"/>
      <c r="D871" s="186"/>
      <c r="E871" s="186"/>
      <c r="F871" s="186"/>
      <c r="G871" s="186"/>
      <c r="H871" s="186"/>
      <c r="I871" s="186"/>
      <c r="J871" s="186"/>
      <c r="K871" s="186"/>
      <c r="L871" s="370"/>
      <c r="M871" s="370"/>
      <c r="N871" s="370"/>
      <c r="O871" s="370"/>
      <c r="P871" s="370"/>
      <c r="Q871" s="186"/>
      <c r="R871" s="186"/>
      <c r="S871" s="186"/>
      <c r="T871" s="186"/>
      <c r="U871" s="186"/>
      <c r="V871" s="186"/>
      <c r="W871" s="186"/>
      <c r="X871" s="186"/>
      <c r="Y871" s="186"/>
      <c r="Z871" s="305"/>
      <c r="AA871" s="60"/>
      <c r="AB871" s="60"/>
      <c r="AC871" s="60"/>
      <c r="AD871" s="60"/>
      <c r="AE871" s="60"/>
      <c r="AF871" s="60"/>
      <c r="AG871" s="60"/>
      <c r="AH871" s="60"/>
      <c r="AI871" s="60"/>
      <c r="AJ871" s="60"/>
    </row>
    <row r="872" spans="1:36" s="59" customFormat="1" ht="35.25">
      <c r="A872" s="193"/>
      <c r="B872" s="203"/>
      <c r="C872" s="186"/>
      <c r="D872" s="186"/>
      <c r="E872" s="186"/>
      <c r="F872" s="186"/>
      <c r="G872" s="186"/>
      <c r="H872" s="186"/>
      <c r="I872" s="186"/>
      <c r="J872" s="186"/>
      <c r="K872" s="186"/>
      <c r="L872" s="370"/>
      <c r="M872" s="370"/>
      <c r="N872" s="370"/>
      <c r="O872" s="370"/>
      <c r="P872" s="370"/>
      <c r="Q872" s="186"/>
      <c r="R872" s="186"/>
      <c r="S872" s="186"/>
      <c r="T872" s="186"/>
      <c r="U872" s="186"/>
      <c r="V872" s="186"/>
      <c r="W872" s="186"/>
      <c r="X872" s="186"/>
      <c r="Y872" s="186"/>
      <c r="Z872" s="305"/>
      <c r="AA872" s="60"/>
      <c r="AB872" s="60"/>
      <c r="AC872" s="60"/>
      <c r="AD872" s="60"/>
      <c r="AE872" s="60"/>
      <c r="AF872" s="60"/>
      <c r="AG872" s="60"/>
      <c r="AH872" s="60"/>
      <c r="AI872" s="60"/>
      <c r="AJ872" s="60"/>
    </row>
    <row r="873" spans="1:36" s="59" customFormat="1" ht="35.25">
      <c r="A873" s="193"/>
      <c r="B873" s="203"/>
      <c r="C873" s="186"/>
      <c r="D873" s="186"/>
      <c r="E873" s="186"/>
      <c r="F873" s="186"/>
      <c r="G873" s="186"/>
      <c r="H873" s="186"/>
      <c r="I873" s="186"/>
      <c r="J873" s="186"/>
      <c r="K873" s="186"/>
      <c r="L873" s="370"/>
      <c r="M873" s="370"/>
      <c r="N873" s="370"/>
      <c r="O873" s="370"/>
      <c r="P873" s="370"/>
      <c r="Q873" s="186"/>
      <c r="R873" s="186"/>
      <c r="S873" s="186"/>
      <c r="T873" s="186"/>
      <c r="U873" s="186"/>
      <c r="V873" s="186"/>
      <c r="W873" s="186"/>
      <c r="X873" s="186"/>
      <c r="Y873" s="186"/>
      <c r="Z873" s="305"/>
      <c r="AA873" s="60"/>
      <c r="AB873" s="60"/>
      <c r="AC873" s="60"/>
      <c r="AD873" s="60"/>
      <c r="AE873" s="60"/>
      <c r="AF873" s="60"/>
      <c r="AG873" s="60"/>
      <c r="AH873" s="60"/>
      <c r="AI873" s="60"/>
      <c r="AJ873" s="60"/>
    </row>
    <row r="874" spans="1:36" s="59" customFormat="1" ht="35.25">
      <c r="A874" s="193"/>
      <c r="B874" s="203"/>
      <c r="C874" s="186"/>
      <c r="D874" s="186"/>
      <c r="E874" s="186"/>
      <c r="F874" s="186"/>
      <c r="G874" s="186"/>
      <c r="H874" s="186"/>
      <c r="I874" s="186"/>
      <c r="J874" s="186"/>
      <c r="K874" s="186"/>
      <c r="L874" s="370"/>
      <c r="M874" s="370"/>
      <c r="N874" s="370"/>
      <c r="O874" s="370"/>
      <c r="P874" s="370"/>
      <c r="Q874" s="186"/>
      <c r="R874" s="186"/>
      <c r="S874" s="186"/>
      <c r="T874" s="186"/>
      <c r="U874" s="186"/>
      <c r="V874" s="186"/>
      <c r="W874" s="186"/>
      <c r="X874" s="186"/>
      <c r="Y874" s="186"/>
      <c r="Z874" s="305"/>
      <c r="AA874" s="60"/>
      <c r="AB874" s="60"/>
      <c r="AC874" s="60"/>
      <c r="AD874" s="60"/>
      <c r="AE874" s="60"/>
      <c r="AF874" s="60"/>
      <c r="AG874" s="60"/>
      <c r="AH874" s="60"/>
      <c r="AI874" s="60"/>
      <c r="AJ874" s="60"/>
    </row>
    <row r="875" spans="1:36" s="59" customFormat="1" ht="35.25">
      <c r="A875" s="193"/>
      <c r="B875" s="203"/>
      <c r="C875" s="186"/>
      <c r="D875" s="186"/>
      <c r="E875" s="186"/>
      <c r="F875" s="186"/>
      <c r="G875" s="186"/>
      <c r="H875" s="186"/>
      <c r="I875" s="186"/>
      <c r="J875" s="186"/>
      <c r="K875" s="186"/>
      <c r="L875" s="370"/>
      <c r="M875" s="370"/>
      <c r="N875" s="370"/>
      <c r="O875" s="370"/>
      <c r="P875" s="370"/>
      <c r="Q875" s="186"/>
      <c r="R875" s="186"/>
      <c r="S875" s="186"/>
      <c r="T875" s="186"/>
      <c r="U875" s="186"/>
      <c r="V875" s="186"/>
      <c r="W875" s="186"/>
      <c r="X875" s="186"/>
      <c r="Y875" s="186"/>
      <c r="Z875" s="305"/>
      <c r="AA875" s="60"/>
      <c r="AB875" s="60"/>
      <c r="AC875" s="60"/>
      <c r="AD875" s="60"/>
      <c r="AE875" s="60"/>
      <c r="AF875" s="60"/>
      <c r="AG875" s="60"/>
      <c r="AH875" s="60"/>
      <c r="AI875" s="60"/>
      <c r="AJ875" s="60"/>
    </row>
    <row r="876" spans="1:36" s="59" customFormat="1" ht="35.25">
      <c r="A876" s="193"/>
      <c r="B876" s="203"/>
      <c r="C876" s="186"/>
      <c r="D876" s="186"/>
      <c r="E876" s="186"/>
      <c r="F876" s="186"/>
      <c r="G876" s="186"/>
      <c r="H876" s="186"/>
      <c r="I876" s="186"/>
      <c r="J876" s="186"/>
      <c r="K876" s="186"/>
      <c r="L876" s="370"/>
      <c r="M876" s="370"/>
      <c r="N876" s="370"/>
      <c r="O876" s="370"/>
      <c r="P876" s="370"/>
      <c r="Q876" s="186"/>
      <c r="R876" s="186"/>
      <c r="S876" s="186"/>
      <c r="T876" s="186"/>
      <c r="U876" s="186"/>
      <c r="V876" s="186"/>
      <c r="W876" s="186"/>
      <c r="X876" s="186"/>
      <c r="Y876" s="186"/>
      <c r="Z876" s="305"/>
      <c r="AA876" s="60"/>
      <c r="AB876" s="60"/>
      <c r="AC876" s="60"/>
      <c r="AD876" s="60"/>
      <c r="AE876" s="60"/>
      <c r="AF876" s="60"/>
      <c r="AG876" s="60"/>
      <c r="AH876" s="60"/>
      <c r="AI876" s="60"/>
      <c r="AJ876" s="60"/>
    </row>
    <row r="877" spans="1:36" s="59" customFormat="1" ht="35.25">
      <c r="A877" s="193"/>
      <c r="B877" s="203"/>
      <c r="C877" s="186"/>
      <c r="D877" s="186"/>
      <c r="E877" s="186"/>
      <c r="F877" s="186"/>
      <c r="G877" s="186"/>
      <c r="H877" s="186"/>
      <c r="I877" s="186"/>
      <c r="J877" s="186"/>
      <c r="K877" s="186"/>
      <c r="L877" s="370"/>
      <c r="M877" s="370"/>
      <c r="N877" s="370"/>
      <c r="O877" s="370"/>
      <c r="P877" s="370"/>
      <c r="Q877" s="186"/>
      <c r="R877" s="186"/>
      <c r="S877" s="186"/>
      <c r="T877" s="186"/>
      <c r="U877" s="186"/>
      <c r="V877" s="186"/>
      <c r="W877" s="186"/>
      <c r="X877" s="186"/>
      <c r="Y877" s="186"/>
      <c r="Z877" s="305"/>
      <c r="AA877" s="60"/>
      <c r="AB877" s="60"/>
      <c r="AC877" s="60"/>
      <c r="AD877" s="60"/>
      <c r="AE877" s="60"/>
      <c r="AF877" s="60"/>
      <c r="AG877" s="60"/>
      <c r="AH877" s="60"/>
      <c r="AI877" s="60"/>
      <c r="AJ877" s="60"/>
    </row>
    <row r="878" spans="1:36" s="59" customFormat="1" ht="35.25">
      <c r="A878" s="193"/>
      <c r="B878" s="203"/>
      <c r="C878" s="186"/>
      <c r="D878" s="186"/>
      <c r="E878" s="186"/>
      <c r="F878" s="186"/>
      <c r="G878" s="186"/>
      <c r="H878" s="186"/>
      <c r="I878" s="186"/>
      <c r="J878" s="186"/>
      <c r="K878" s="186"/>
      <c r="L878" s="370"/>
      <c r="M878" s="370"/>
      <c r="N878" s="370"/>
      <c r="O878" s="370"/>
      <c r="P878" s="370"/>
      <c r="Q878" s="186"/>
      <c r="R878" s="186"/>
      <c r="S878" s="186"/>
      <c r="T878" s="186"/>
      <c r="U878" s="186"/>
      <c r="V878" s="186"/>
      <c r="W878" s="186"/>
      <c r="X878" s="186"/>
      <c r="Y878" s="186"/>
      <c r="Z878" s="305"/>
      <c r="AA878" s="60"/>
      <c r="AB878" s="60"/>
      <c r="AC878" s="60"/>
      <c r="AD878" s="60"/>
      <c r="AE878" s="60"/>
      <c r="AF878" s="60"/>
      <c r="AG878" s="60"/>
      <c r="AH878" s="60"/>
      <c r="AI878" s="60"/>
      <c r="AJ878" s="60"/>
    </row>
    <row r="879" spans="1:36" s="59" customFormat="1" ht="35.25">
      <c r="A879" s="193"/>
      <c r="B879" s="203"/>
      <c r="C879" s="186"/>
      <c r="D879" s="186"/>
      <c r="E879" s="186"/>
      <c r="F879" s="186"/>
      <c r="G879" s="186"/>
      <c r="H879" s="186"/>
      <c r="I879" s="186"/>
      <c r="J879" s="186"/>
      <c r="K879" s="186"/>
      <c r="L879" s="370"/>
      <c r="M879" s="370"/>
      <c r="N879" s="370"/>
      <c r="O879" s="370"/>
      <c r="P879" s="370"/>
      <c r="Q879" s="186"/>
      <c r="R879" s="186"/>
      <c r="S879" s="186"/>
      <c r="T879" s="186"/>
      <c r="U879" s="186"/>
      <c r="V879" s="186"/>
      <c r="W879" s="186"/>
      <c r="X879" s="186"/>
      <c r="Y879" s="186"/>
      <c r="Z879" s="305"/>
      <c r="AA879" s="60"/>
      <c r="AB879" s="60"/>
      <c r="AC879" s="60"/>
      <c r="AD879" s="60"/>
      <c r="AE879" s="60"/>
      <c r="AF879" s="60"/>
      <c r="AG879" s="60"/>
      <c r="AH879" s="60"/>
      <c r="AI879" s="60"/>
      <c r="AJ879" s="60"/>
    </row>
    <row r="880" spans="1:36" s="59" customFormat="1" ht="35.25">
      <c r="A880" s="193"/>
      <c r="B880" s="203"/>
      <c r="C880" s="186"/>
      <c r="D880" s="186"/>
      <c r="E880" s="186"/>
      <c r="F880" s="186"/>
      <c r="G880" s="186"/>
      <c r="H880" s="186"/>
      <c r="I880" s="186"/>
      <c r="J880" s="186"/>
      <c r="K880" s="186"/>
      <c r="L880" s="370"/>
      <c r="M880" s="370"/>
      <c r="N880" s="370"/>
      <c r="O880" s="370"/>
      <c r="P880" s="370"/>
      <c r="Q880" s="186"/>
      <c r="R880" s="186"/>
      <c r="S880" s="186"/>
      <c r="T880" s="186"/>
      <c r="U880" s="186"/>
      <c r="V880" s="186"/>
      <c r="W880" s="186"/>
      <c r="X880" s="186"/>
      <c r="Y880" s="186"/>
      <c r="Z880" s="305"/>
      <c r="AA880" s="60"/>
      <c r="AB880" s="60"/>
      <c r="AC880" s="60"/>
      <c r="AD880" s="60"/>
      <c r="AE880" s="60"/>
      <c r="AF880" s="60"/>
      <c r="AG880" s="60"/>
      <c r="AH880" s="60"/>
      <c r="AI880" s="60"/>
      <c r="AJ880" s="60"/>
    </row>
    <row r="881" spans="1:36" s="59" customFormat="1" ht="35.25">
      <c r="A881" s="193"/>
      <c r="B881" s="203"/>
      <c r="C881" s="186"/>
      <c r="D881" s="186"/>
      <c r="E881" s="186"/>
      <c r="F881" s="186"/>
      <c r="G881" s="186"/>
      <c r="H881" s="186"/>
      <c r="I881" s="186"/>
      <c r="J881" s="186"/>
      <c r="K881" s="186"/>
      <c r="L881" s="370"/>
      <c r="M881" s="370"/>
      <c r="N881" s="370"/>
      <c r="O881" s="370"/>
      <c r="P881" s="370"/>
      <c r="Q881" s="186"/>
      <c r="R881" s="186"/>
      <c r="S881" s="186"/>
      <c r="T881" s="186"/>
      <c r="U881" s="186"/>
      <c r="V881" s="186"/>
      <c r="W881" s="186"/>
      <c r="X881" s="186"/>
      <c r="Y881" s="186"/>
      <c r="Z881" s="305"/>
      <c r="AA881" s="60"/>
      <c r="AB881" s="60"/>
      <c r="AC881" s="60"/>
      <c r="AD881" s="60"/>
      <c r="AE881" s="60"/>
      <c r="AF881" s="60"/>
      <c r="AG881" s="60"/>
      <c r="AH881" s="60"/>
      <c r="AI881" s="60"/>
      <c r="AJ881" s="60"/>
    </row>
    <row r="882" spans="1:36" s="59" customFormat="1" ht="35.25">
      <c r="A882" s="193"/>
      <c r="B882" s="203"/>
      <c r="C882" s="186"/>
      <c r="D882" s="186"/>
      <c r="E882" s="186"/>
      <c r="F882" s="186"/>
      <c r="G882" s="186"/>
      <c r="H882" s="186"/>
      <c r="I882" s="186"/>
      <c r="J882" s="186"/>
      <c r="K882" s="186"/>
      <c r="L882" s="370"/>
      <c r="M882" s="370"/>
      <c r="N882" s="370"/>
      <c r="O882" s="370"/>
      <c r="P882" s="370"/>
      <c r="Q882" s="186"/>
      <c r="R882" s="186"/>
      <c r="S882" s="186"/>
      <c r="T882" s="186"/>
      <c r="U882" s="186"/>
      <c r="V882" s="186"/>
      <c r="W882" s="186"/>
      <c r="X882" s="186"/>
      <c r="Y882" s="186"/>
      <c r="Z882" s="305"/>
      <c r="AA882" s="60"/>
      <c r="AB882" s="60"/>
      <c r="AC882" s="60"/>
      <c r="AD882" s="60"/>
      <c r="AE882" s="60"/>
      <c r="AF882" s="60"/>
      <c r="AG882" s="60"/>
      <c r="AH882" s="60"/>
      <c r="AI882" s="60"/>
      <c r="AJ882" s="60"/>
    </row>
    <row r="883" spans="1:36" s="59" customFormat="1" ht="35.25">
      <c r="A883" s="193"/>
      <c r="B883" s="203"/>
      <c r="C883" s="186"/>
      <c r="D883" s="186"/>
      <c r="E883" s="186"/>
      <c r="F883" s="186"/>
      <c r="G883" s="186"/>
      <c r="H883" s="186"/>
      <c r="I883" s="186"/>
      <c r="J883" s="186"/>
      <c r="K883" s="186"/>
      <c r="L883" s="370"/>
      <c r="M883" s="370"/>
      <c r="N883" s="370"/>
      <c r="O883" s="370"/>
      <c r="P883" s="370"/>
      <c r="Q883" s="186"/>
      <c r="R883" s="186"/>
      <c r="S883" s="186"/>
      <c r="T883" s="186"/>
      <c r="U883" s="186"/>
      <c r="V883" s="186"/>
      <c r="W883" s="186"/>
      <c r="X883" s="186"/>
      <c r="Y883" s="186"/>
      <c r="Z883" s="305"/>
      <c r="AA883" s="60"/>
      <c r="AB883" s="60"/>
      <c r="AC883" s="60"/>
      <c r="AD883" s="60"/>
      <c r="AE883" s="60"/>
      <c r="AF883" s="60"/>
      <c r="AG883" s="60"/>
      <c r="AH883" s="60"/>
      <c r="AI883" s="60"/>
      <c r="AJ883" s="60"/>
    </row>
    <row r="884" spans="1:36" s="59" customFormat="1" ht="35.25">
      <c r="A884" s="193"/>
      <c r="B884" s="203"/>
      <c r="C884" s="186"/>
      <c r="D884" s="186"/>
      <c r="E884" s="186"/>
      <c r="F884" s="186"/>
      <c r="G884" s="186"/>
      <c r="H884" s="186"/>
      <c r="I884" s="186"/>
      <c r="J884" s="186"/>
      <c r="K884" s="186"/>
      <c r="L884" s="370"/>
      <c r="M884" s="370"/>
      <c r="N884" s="370"/>
      <c r="O884" s="370"/>
      <c r="P884" s="370"/>
      <c r="Q884" s="186"/>
      <c r="R884" s="186"/>
      <c r="S884" s="186"/>
      <c r="T884" s="186"/>
      <c r="U884" s="186"/>
      <c r="V884" s="186"/>
      <c r="W884" s="186"/>
      <c r="X884" s="186"/>
      <c r="Y884" s="186"/>
      <c r="Z884" s="305"/>
      <c r="AA884" s="60"/>
      <c r="AB884" s="60"/>
      <c r="AC884" s="60"/>
      <c r="AD884" s="60"/>
      <c r="AE884" s="60"/>
      <c r="AF884" s="60"/>
      <c r="AG884" s="60"/>
      <c r="AH884" s="60"/>
      <c r="AI884" s="60"/>
      <c r="AJ884" s="60"/>
    </row>
    <row r="885" spans="1:36" s="59" customFormat="1" ht="35.25">
      <c r="A885" s="193"/>
      <c r="B885" s="203"/>
      <c r="C885" s="186"/>
      <c r="D885" s="186"/>
      <c r="E885" s="186"/>
      <c r="F885" s="186"/>
      <c r="G885" s="186"/>
      <c r="H885" s="186"/>
      <c r="I885" s="186"/>
      <c r="J885" s="186"/>
      <c r="K885" s="186"/>
      <c r="L885" s="370"/>
      <c r="M885" s="370"/>
      <c r="N885" s="370"/>
      <c r="O885" s="370"/>
      <c r="P885" s="370"/>
      <c r="Q885" s="186"/>
      <c r="R885" s="186"/>
      <c r="S885" s="186"/>
      <c r="T885" s="186"/>
      <c r="U885" s="186"/>
      <c r="V885" s="186"/>
      <c r="W885" s="186"/>
      <c r="X885" s="186"/>
      <c r="Y885" s="186"/>
      <c r="Z885" s="305"/>
      <c r="AA885" s="60"/>
      <c r="AB885" s="60"/>
      <c r="AC885" s="60"/>
      <c r="AD885" s="60"/>
      <c r="AE885" s="60"/>
      <c r="AF885" s="60"/>
      <c r="AG885" s="60"/>
      <c r="AH885" s="60"/>
      <c r="AI885" s="60"/>
      <c r="AJ885" s="60"/>
    </row>
    <row r="886" spans="1:36" s="59" customFormat="1" ht="35.25">
      <c r="A886" s="193"/>
      <c r="B886" s="203"/>
      <c r="C886" s="186"/>
      <c r="D886" s="186"/>
      <c r="E886" s="186"/>
      <c r="F886" s="186"/>
      <c r="G886" s="186"/>
      <c r="H886" s="186"/>
      <c r="I886" s="186"/>
      <c r="J886" s="186"/>
      <c r="K886" s="186"/>
      <c r="L886" s="370"/>
      <c r="M886" s="370"/>
      <c r="N886" s="370"/>
      <c r="O886" s="370"/>
      <c r="P886" s="370"/>
      <c r="Q886" s="186"/>
      <c r="R886" s="186"/>
      <c r="S886" s="186"/>
      <c r="T886" s="186"/>
      <c r="U886" s="186"/>
      <c r="V886" s="186"/>
      <c r="W886" s="186"/>
      <c r="X886" s="186"/>
      <c r="Y886" s="186"/>
      <c r="Z886" s="305"/>
      <c r="AA886" s="60"/>
      <c r="AB886" s="60"/>
      <c r="AC886" s="60"/>
      <c r="AD886" s="60"/>
      <c r="AE886" s="60"/>
      <c r="AF886" s="60"/>
      <c r="AG886" s="60"/>
      <c r="AH886" s="60"/>
      <c r="AI886" s="60"/>
      <c r="AJ886" s="60"/>
    </row>
    <row r="887" spans="1:36" s="59" customFormat="1" ht="35.25">
      <c r="A887" s="193"/>
      <c r="B887" s="203"/>
      <c r="C887" s="186"/>
      <c r="D887" s="186"/>
      <c r="E887" s="186"/>
      <c r="F887" s="186"/>
      <c r="G887" s="186"/>
      <c r="H887" s="186"/>
      <c r="I887" s="186"/>
      <c r="J887" s="186"/>
      <c r="K887" s="186"/>
      <c r="L887" s="370"/>
      <c r="M887" s="370"/>
      <c r="N887" s="370"/>
      <c r="O887" s="370"/>
      <c r="P887" s="370"/>
      <c r="Q887" s="186"/>
      <c r="R887" s="186"/>
      <c r="S887" s="186"/>
      <c r="T887" s="186"/>
      <c r="U887" s="186"/>
      <c r="V887" s="186"/>
      <c r="W887" s="186"/>
      <c r="X887" s="186"/>
      <c r="Y887" s="186"/>
      <c r="Z887" s="305"/>
      <c r="AA887" s="60"/>
      <c r="AB887" s="60"/>
      <c r="AC887" s="60"/>
      <c r="AD887" s="60"/>
      <c r="AE887" s="60"/>
      <c r="AF887" s="60"/>
      <c r="AG887" s="60"/>
      <c r="AH887" s="60"/>
      <c r="AI887" s="60"/>
      <c r="AJ887" s="60"/>
    </row>
    <row r="888" spans="1:36" s="59" customFormat="1" ht="35.25">
      <c r="A888" s="193"/>
      <c r="B888" s="203"/>
      <c r="C888" s="186"/>
      <c r="D888" s="186"/>
      <c r="E888" s="186"/>
      <c r="F888" s="186"/>
      <c r="G888" s="186"/>
      <c r="H888" s="186"/>
      <c r="I888" s="186"/>
      <c r="J888" s="186"/>
      <c r="K888" s="186"/>
      <c r="L888" s="370"/>
      <c r="M888" s="370"/>
      <c r="N888" s="370"/>
      <c r="O888" s="370"/>
      <c r="P888" s="370"/>
      <c r="Q888" s="186"/>
      <c r="R888" s="186"/>
      <c r="S888" s="186"/>
      <c r="T888" s="186"/>
      <c r="U888" s="186"/>
      <c r="V888" s="186"/>
      <c r="W888" s="186"/>
      <c r="X888" s="186"/>
      <c r="Y888" s="186"/>
      <c r="Z888" s="305"/>
      <c r="AA888" s="60"/>
      <c r="AB888" s="60"/>
      <c r="AC888" s="60"/>
      <c r="AD888" s="60"/>
      <c r="AE888" s="60"/>
      <c r="AF888" s="60"/>
      <c r="AG888" s="60"/>
      <c r="AH888" s="60"/>
      <c r="AI888" s="60"/>
      <c r="AJ888" s="60"/>
    </row>
    <row r="889" spans="1:36" s="59" customFormat="1" ht="35.25">
      <c r="A889" s="193"/>
      <c r="B889" s="203"/>
      <c r="C889" s="186"/>
      <c r="D889" s="186"/>
      <c r="E889" s="186"/>
      <c r="F889" s="186"/>
      <c r="G889" s="186"/>
      <c r="H889" s="186"/>
      <c r="I889" s="186"/>
      <c r="J889" s="186"/>
      <c r="K889" s="186"/>
      <c r="L889" s="370"/>
      <c r="M889" s="370"/>
      <c r="N889" s="370"/>
      <c r="O889" s="370"/>
      <c r="P889" s="370"/>
      <c r="Q889" s="186"/>
      <c r="R889" s="186"/>
      <c r="S889" s="186"/>
      <c r="T889" s="186"/>
      <c r="U889" s="186"/>
      <c r="V889" s="186"/>
      <c r="W889" s="186"/>
      <c r="X889" s="186"/>
      <c r="Y889" s="186"/>
      <c r="Z889" s="305"/>
      <c r="AA889" s="60"/>
      <c r="AB889" s="60"/>
      <c r="AC889" s="60"/>
      <c r="AD889" s="60"/>
      <c r="AE889" s="60"/>
      <c r="AF889" s="60"/>
      <c r="AG889" s="60"/>
      <c r="AH889" s="60"/>
      <c r="AI889" s="60"/>
      <c r="AJ889" s="60"/>
    </row>
    <row r="890" spans="1:36" s="59" customFormat="1" ht="35.25">
      <c r="A890" s="193"/>
      <c r="B890" s="203"/>
      <c r="C890" s="186"/>
      <c r="D890" s="186"/>
      <c r="E890" s="186"/>
      <c r="F890" s="186"/>
      <c r="G890" s="186"/>
      <c r="H890" s="186"/>
      <c r="I890" s="186"/>
      <c r="J890" s="186"/>
      <c r="K890" s="186"/>
      <c r="L890" s="370"/>
      <c r="M890" s="370"/>
      <c r="N890" s="370"/>
      <c r="O890" s="370"/>
      <c r="P890" s="370"/>
      <c r="Q890" s="186"/>
      <c r="R890" s="186"/>
      <c r="S890" s="186"/>
      <c r="T890" s="186"/>
      <c r="U890" s="186"/>
      <c r="V890" s="186"/>
      <c r="W890" s="186"/>
      <c r="X890" s="186"/>
      <c r="Y890" s="186"/>
      <c r="Z890" s="305"/>
      <c r="AA890" s="60"/>
      <c r="AB890" s="60"/>
      <c r="AC890" s="60"/>
      <c r="AD890" s="60"/>
      <c r="AE890" s="60"/>
      <c r="AF890" s="60"/>
      <c r="AG890" s="60"/>
      <c r="AH890" s="60"/>
      <c r="AI890" s="60"/>
      <c r="AJ890" s="60"/>
    </row>
    <row r="891" spans="1:36" s="59" customFormat="1" ht="35.25">
      <c r="A891" s="193"/>
      <c r="B891" s="203"/>
      <c r="C891" s="186"/>
      <c r="D891" s="186"/>
      <c r="E891" s="186"/>
      <c r="F891" s="186"/>
      <c r="G891" s="186"/>
      <c r="H891" s="186"/>
      <c r="I891" s="186"/>
      <c r="J891" s="186"/>
      <c r="K891" s="186"/>
      <c r="L891" s="370"/>
      <c r="M891" s="370"/>
      <c r="N891" s="370"/>
      <c r="O891" s="370"/>
      <c r="P891" s="370"/>
      <c r="Q891" s="186"/>
      <c r="R891" s="186"/>
      <c r="S891" s="186"/>
      <c r="T891" s="186"/>
      <c r="U891" s="186"/>
      <c r="V891" s="186"/>
      <c r="W891" s="186"/>
      <c r="X891" s="186"/>
      <c r="Y891" s="186"/>
      <c r="Z891" s="305"/>
      <c r="AA891" s="60"/>
      <c r="AB891" s="60"/>
      <c r="AC891" s="60"/>
      <c r="AD891" s="60"/>
      <c r="AE891" s="60"/>
      <c r="AF891" s="60"/>
      <c r="AG891" s="60"/>
      <c r="AH891" s="60"/>
      <c r="AI891" s="60"/>
      <c r="AJ891" s="60"/>
    </row>
    <row r="892" spans="1:36" s="59" customFormat="1" ht="35.25">
      <c r="A892" s="193"/>
      <c r="B892" s="203"/>
      <c r="C892" s="186"/>
      <c r="D892" s="186"/>
      <c r="E892" s="186"/>
      <c r="F892" s="186"/>
      <c r="G892" s="186"/>
      <c r="H892" s="186"/>
      <c r="I892" s="186"/>
      <c r="J892" s="186"/>
      <c r="K892" s="186"/>
      <c r="L892" s="370"/>
      <c r="M892" s="370"/>
      <c r="N892" s="370"/>
      <c r="O892" s="370"/>
      <c r="P892" s="370"/>
      <c r="Q892" s="186"/>
      <c r="R892" s="186"/>
      <c r="S892" s="186"/>
      <c r="T892" s="186"/>
      <c r="U892" s="186"/>
      <c r="V892" s="186"/>
      <c r="W892" s="186"/>
      <c r="X892" s="186"/>
      <c r="Y892" s="186"/>
      <c r="Z892" s="305"/>
      <c r="AA892" s="60"/>
      <c r="AB892" s="60"/>
      <c r="AC892" s="60"/>
      <c r="AD892" s="60"/>
      <c r="AE892" s="60"/>
      <c r="AF892" s="60"/>
      <c r="AG892" s="60"/>
      <c r="AH892" s="60"/>
      <c r="AI892" s="60"/>
      <c r="AJ892" s="60"/>
    </row>
    <row r="893" spans="1:36" s="59" customFormat="1" ht="35.25">
      <c r="A893" s="193"/>
      <c r="B893" s="203"/>
      <c r="C893" s="186"/>
      <c r="D893" s="186"/>
      <c r="E893" s="186"/>
      <c r="F893" s="186"/>
      <c r="G893" s="186"/>
      <c r="H893" s="186"/>
      <c r="I893" s="186"/>
      <c r="J893" s="186"/>
      <c r="K893" s="186"/>
      <c r="L893" s="370"/>
      <c r="M893" s="370"/>
      <c r="N893" s="370"/>
      <c r="O893" s="370"/>
      <c r="P893" s="370"/>
      <c r="Q893" s="186"/>
      <c r="R893" s="186"/>
      <c r="S893" s="186"/>
      <c r="T893" s="186"/>
      <c r="U893" s="186"/>
      <c r="V893" s="186"/>
      <c r="W893" s="186"/>
      <c r="X893" s="186"/>
      <c r="Y893" s="186"/>
      <c r="Z893" s="305"/>
      <c r="AA893" s="60"/>
      <c r="AB893" s="60"/>
      <c r="AC893" s="60"/>
      <c r="AD893" s="60"/>
      <c r="AE893" s="60"/>
      <c r="AF893" s="60"/>
      <c r="AG893" s="60"/>
      <c r="AH893" s="60"/>
      <c r="AI893" s="60"/>
      <c r="AJ893" s="60"/>
    </row>
    <row r="894" spans="1:36" s="59" customFormat="1" ht="35.25">
      <c r="A894" s="193"/>
      <c r="B894" s="203"/>
      <c r="C894" s="186"/>
      <c r="D894" s="186"/>
      <c r="E894" s="186"/>
      <c r="F894" s="186"/>
      <c r="G894" s="186"/>
      <c r="H894" s="186"/>
      <c r="I894" s="186"/>
      <c r="J894" s="186"/>
      <c r="K894" s="186"/>
      <c r="L894" s="370"/>
      <c r="M894" s="370"/>
      <c r="N894" s="370"/>
      <c r="O894" s="370"/>
      <c r="P894" s="370"/>
      <c r="Q894" s="186"/>
      <c r="R894" s="186"/>
      <c r="S894" s="186"/>
      <c r="T894" s="186"/>
      <c r="U894" s="186"/>
      <c r="V894" s="186"/>
      <c r="W894" s="186"/>
      <c r="X894" s="186"/>
      <c r="Y894" s="186"/>
      <c r="Z894" s="305"/>
      <c r="AA894" s="60"/>
      <c r="AB894" s="60"/>
      <c r="AC894" s="60"/>
      <c r="AD894" s="60"/>
      <c r="AE894" s="60"/>
      <c r="AF894" s="60"/>
      <c r="AG894" s="60"/>
      <c r="AH894" s="60"/>
      <c r="AI894" s="60"/>
      <c r="AJ894" s="60"/>
    </row>
    <row r="895" spans="1:36" s="59" customFormat="1" ht="35.25">
      <c r="A895" s="193"/>
      <c r="B895" s="203"/>
      <c r="C895" s="186"/>
      <c r="D895" s="186"/>
      <c r="E895" s="186"/>
      <c r="F895" s="186"/>
      <c r="G895" s="186"/>
      <c r="H895" s="186"/>
      <c r="I895" s="186"/>
      <c r="J895" s="186"/>
      <c r="K895" s="186"/>
      <c r="L895" s="370"/>
      <c r="M895" s="370"/>
      <c r="N895" s="370"/>
      <c r="O895" s="370"/>
      <c r="P895" s="370"/>
      <c r="Q895" s="186"/>
      <c r="R895" s="186"/>
      <c r="S895" s="186"/>
      <c r="T895" s="186"/>
      <c r="U895" s="186"/>
      <c r="V895" s="186"/>
      <c r="W895" s="186"/>
      <c r="X895" s="186"/>
      <c r="Y895" s="186"/>
      <c r="Z895" s="305"/>
      <c r="AA895" s="60"/>
      <c r="AB895" s="60"/>
      <c r="AC895" s="60"/>
      <c r="AD895" s="60"/>
      <c r="AE895" s="60"/>
      <c r="AF895" s="60"/>
      <c r="AG895" s="60"/>
      <c r="AH895" s="60"/>
      <c r="AI895" s="60"/>
      <c r="AJ895" s="60"/>
    </row>
    <row r="896" spans="1:36" s="59" customFormat="1" ht="35.25">
      <c r="A896" s="193"/>
      <c r="B896" s="203"/>
      <c r="C896" s="186"/>
      <c r="D896" s="186"/>
      <c r="E896" s="186"/>
      <c r="F896" s="186"/>
      <c r="G896" s="186"/>
      <c r="H896" s="186"/>
      <c r="I896" s="186"/>
      <c r="J896" s="186"/>
      <c r="K896" s="186"/>
      <c r="L896" s="370"/>
      <c r="M896" s="370"/>
      <c r="N896" s="370"/>
      <c r="O896" s="370"/>
      <c r="P896" s="370"/>
      <c r="Q896" s="186"/>
      <c r="R896" s="186"/>
      <c r="S896" s="186"/>
      <c r="T896" s="186"/>
      <c r="U896" s="186"/>
      <c r="V896" s="186"/>
      <c r="W896" s="186"/>
      <c r="X896" s="186"/>
      <c r="Y896" s="186"/>
      <c r="Z896" s="305"/>
      <c r="AA896" s="60"/>
      <c r="AB896" s="60"/>
      <c r="AC896" s="60"/>
      <c r="AD896" s="60"/>
      <c r="AE896" s="60"/>
      <c r="AF896" s="60"/>
      <c r="AG896" s="60"/>
      <c r="AH896" s="60"/>
      <c r="AI896" s="60"/>
      <c r="AJ896" s="60"/>
    </row>
    <row r="897" spans="1:36" s="59" customFormat="1" ht="35.25">
      <c r="A897" s="193"/>
      <c r="B897" s="203"/>
      <c r="C897" s="186"/>
      <c r="D897" s="186"/>
      <c r="E897" s="186"/>
      <c r="F897" s="186"/>
      <c r="G897" s="186"/>
      <c r="H897" s="186"/>
      <c r="I897" s="186"/>
      <c r="J897" s="186"/>
      <c r="K897" s="186"/>
      <c r="L897" s="370"/>
      <c r="M897" s="370"/>
      <c r="N897" s="370"/>
      <c r="O897" s="370"/>
      <c r="P897" s="370"/>
      <c r="Q897" s="186"/>
      <c r="R897" s="186"/>
      <c r="S897" s="186"/>
      <c r="T897" s="186"/>
      <c r="U897" s="186"/>
      <c r="V897" s="186"/>
      <c r="W897" s="186"/>
      <c r="X897" s="186"/>
      <c r="Y897" s="186"/>
      <c r="Z897" s="305"/>
      <c r="AA897" s="60"/>
      <c r="AB897" s="60"/>
      <c r="AC897" s="60"/>
      <c r="AD897" s="60"/>
      <c r="AE897" s="60"/>
      <c r="AF897" s="60"/>
      <c r="AG897" s="60"/>
      <c r="AH897" s="60"/>
      <c r="AI897" s="60"/>
      <c r="AJ897" s="60"/>
    </row>
    <row r="898" spans="1:36" s="59" customFormat="1" ht="35.25">
      <c r="A898" s="193"/>
      <c r="B898" s="203"/>
      <c r="C898" s="186"/>
      <c r="D898" s="186"/>
      <c r="E898" s="186"/>
      <c r="F898" s="186"/>
      <c r="G898" s="186"/>
      <c r="H898" s="186"/>
      <c r="I898" s="186"/>
      <c r="J898" s="186"/>
      <c r="K898" s="186"/>
      <c r="L898" s="370"/>
      <c r="M898" s="370"/>
      <c r="N898" s="370"/>
      <c r="O898" s="370"/>
      <c r="P898" s="370"/>
      <c r="Q898" s="186"/>
      <c r="R898" s="186"/>
      <c r="S898" s="186"/>
      <c r="T898" s="186"/>
      <c r="U898" s="186"/>
      <c r="V898" s="186"/>
      <c r="W898" s="186"/>
      <c r="X898" s="186"/>
      <c r="Y898" s="186"/>
      <c r="Z898" s="305"/>
      <c r="AA898" s="60"/>
      <c r="AB898" s="60"/>
      <c r="AC898" s="60"/>
      <c r="AD898" s="60"/>
      <c r="AE898" s="60"/>
      <c r="AF898" s="60"/>
      <c r="AG898" s="60"/>
      <c r="AH898" s="60"/>
      <c r="AI898" s="60"/>
      <c r="AJ898" s="60"/>
    </row>
    <row r="899" spans="1:36" s="59" customFormat="1" ht="35.25">
      <c r="A899" s="193"/>
      <c r="B899" s="203"/>
      <c r="C899" s="186"/>
      <c r="D899" s="186"/>
      <c r="E899" s="186"/>
      <c r="F899" s="186"/>
      <c r="G899" s="186"/>
      <c r="H899" s="186"/>
      <c r="I899" s="186"/>
      <c r="J899" s="186"/>
      <c r="K899" s="186"/>
      <c r="L899" s="370"/>
      <c r="M899" s="370"/>
      <c r="N899" s="370"/>
      <c r="O899" s="370"/>
      <c r="P899" s="370"/>
      <c r="Q899" s="186"/>
      <c r="R899" s="186"/>
      <c r="S899" s="186"/>
      <c r="T899" s="186"/>
      <c r="U899" s="186"/>
      <c r="V899" s="186"/>
      <c r="W899" s="186"/>
      <c r="X899" s="186"/>
      <c r="Y899" s="186"/>
      <c r="Z899" s="305"/>
      <c r="AA899" s="60"/>
      <c r="AB899" s="60"/>
      <c r="AC899" s="60"/>
      <c r="AD899" s="60"/>
      <c r="AE899" s="60"/>
      <c r="AF899" s="60"/>
      <c r="AG899" s="60"/>
      <c r="AH899" s="60"/>
      <c r="AI899" s="60"/>
      <c r="AJ899" s="60"/>
    </row>
    <row r="900" spans="1:36" s="59" customFormat="1" ht="35.25">
      <c r="A900" s="193"/>
      <c r="B900" s="203"/>
      <c r="C900" s="186"/>
      <c r="D900" s="186"/>
      <c r="E900" s="186"/>
      <c r="F900" s="186"/>
      <c r="G900" s="186"/>
      <c r="H900" s="186"/>
      <c r="I900" s="186"/>
      <c r="J900" s="186"/>
      <c r="K900" s="186"/>
      <c r="L900" s="370"/>
      <c r="M900" s="370"/>
      <c r="N900" s="370"/>
      <c r="O900" s="370"/>
      <c r="P900" s="370"/>
      <c r="Q900" s="186"/>
      <c r="R900" s="186"/>
      <c r="S900" s="186"/>
      <c r="T900" s="186"/>
      <c r="U900" s="186"/>
      <c r="V900" s="186"/>
      <c r="W900" s="186"/>
      <c r="X900" s="186"/>
      <c r="Y900" s="186"/>
      <c r="Z900" s="305"/>
      <c r="AA900" s="60"/>
      <c r="AB900" s="60"/>
      <c r="AC900" s="60"/>
      <c r="AD900" s="60"/>
      <c r="AE900" s="60"/>
      <c r="AF900" s="60"/>
      <c r="AG900" s="60"/>
      <c r="AH900" s="60"/>
      <c r="AI900" s="60"/>
      <c r="AJ900" s="60"/>
    </row>
    <row r="901" spans="1:36" s="59" customFormat="1" ht="35.25">
      <c r="A901" s="193"/>
      <c r="B901" s="203"/>
      <c r="C901" s="186"/>
      <c r="D901" s="186"/>
      <c r="E901" s="186"/>
      <c r="F901" s="186"/>
      <c r="G901" s="186"/>
      <c r="H901" s="186"/>
      <c r="I901" s="186"/>
      <c r="J901" s="186"/>
      <c r="K901" s="186"/>
      <c r="L901" s="370"/>
      <c r="M901" s="370"/>
      <c r="N901" s="370"/>
      <c r="O901" s="370"/>
      <c r="P901" s="370"/>
      <c r="Q901" s="186"/>
      <c r="R901" s="186"/>
      <c r="S901" s="186"/>
      <c r="T901" s="186"/>
      <c r="U901" s="186"/>
      <c r="V901" s="186"/>
      <c r="W901" s="186"/>
      <c r="X901" s="186"/>
      <c r="Y901" s="186"/>
      <c r="Z901" s="305"/>
      <c r="AA901" s="60"/>
      <c r="AB901" s="60"/>
      <c r="AC901" s="60"/>
      <c r="AD901" s="60"/>
      <c r="AE901" s="60"/>
      <c r="AF901" s="60"/>
      <c r="AG901" s="60"/>
      <c r="AH901" s="60"/>
      <c r="AI901" s="60"/>
      <c r="AJ901" s="60"/>
    </row>
    <row r="902" spans="1:36" s="59" customFormat="1" ht="35.25">
      <c r="A902" s="193"/>
      <c r="B902" s="203"/>
      <c r="C902" s="186"/>
      <c r="D902" s="186"/>
      <c r="E902" s="186"/>
      <c r="F902" s="186"/>
      <c r="G902" s="186"/>
      <c r="H902" s="186"/>
      <c r="I902" s="186"/>
      <c r="J902" s="186"/>
      <c r="K902" s="186"/>
      <c r="L902" s="370"/>
      <c r="M902" s="370"/>
      <c r="N902" s="370"/>
      <c r="O902" s="370"/>
      <c r="P902" s="370"/>
      <c r="Q902" s="186"/>
      <c r="R902" s="186"/>
      <c r="S902" s="186"/>
      <c r="T902" s="186"/>
      <c r="U902" s="186"/>
      <c r="V902" s="186"/>
      <c r="W902" s="186"/>
      <c r="X902" s="186"/>
      <c r="Y902" s="186"/>
      <c r="Z902" s="305"/>
      <c r="AA902" s="60"/>
      <c r="AB902" s="60"/>
      <c r="AC902" s="60"/>
      <c r="AD902" s="60"/>
      <c r="AE902" s="60"/>
      <c r="AF902" s="60"/>
      <c r="AG902" s="60"/>
      <c r="AH902" s="60"/>
      <c r="AI902" s="60"/>
      <c r="AJ902" s="60"/>
    </row>
    <row r="903" spans="1:36" s="59" customFormat="1" ht="35.25">
      <c r="A903" s="193"/>
      <c r="B903" s="203"/>
      <c r="C903" s="186"/>
      <c r="D903" s="186"/>
      <c r="E903" s="186"/>
      <c r="F903" s="186"/>
      <c r="G903" s="186"/>
      <c r="H903" s="186"/>
      <c r="I903" s="186"/>
      <c r="J903" s="186"/>
      <c r="K903" s="186"/>
      <c r="L903" s="370"/>
      <c r="M903" s="370"/>
      <c r="N903" s="370"/>
      <c r="O903" s="370"/>
      <c r="P903" s="370"/>
      <c r="Q903" s="186"/>
      <c r="R903" s="186"/>
      <c r="S903" s="186"/>
      <c r="T903" s="186"/>
      <c r="U903" s="186"/>
      <c r="V903" s="186"/>
      <c r="W903" s="186"/>
      <c r="X903" s="186"/>
      <c r="Y903" s="186"/>
      <c r="Z903" s="305"/>
      <c r="AA903" s="60"/>
      <c r="AB903" s="60"/>
      <c r="AC903" s="60"/>
      <c r="AD903" s="60"/>
      <c r="AE903" s="60"/>
      <c r="AF903" s="60"/>
      <c r="AG903" s="60"/>
      <c r="AH903" s="60"/>
      <c r="AI903" s="60"/>
      <c r="AJ903" s="60"/>
    </row>
    <row r="904" spans="1:36" s="59" customFormat="1" ht="35.25">
      <c r="A904" s="193"/>
      <c r="B904" s="203"/>
      <c r="C904" s="186"/>
      <c r="D904" s="186"/>
      <c r="E904" s="186"/>
      <c r="F904" s="186"/>
      <c r="G904" s="186"/>
      <c r="H904" s="186"/>
      <c r="I904" s="186"/>
      <c r="J904" s="186"/>
      <c r="K904" s="186"/>
      <c r="L904" s="370"/>
      <c r="M904" s="370"/>
      <c r="N904" s="370"/>
      <c r="O904" s="370"/>
      <c r="P904" s="370"/>
      <c r="Q904" s="186"/>
      <c r="R904" s="186"/>
      <c r="S904" s="186"/>
      <c r="T904" s="186"/>
      <c r="U904" s="186"/>
      <c r="V904" s="186"/>
      <c r="W904" s="186"/>
      <c r="X904" s="186"/>
      <c r="Y904" s="186"/>
      <c r="Z904" s="305"/>
      <c r="AA904" s="60"/>
      <c r="AB904" s="60"/>
      <c r="AC904" s="60"/>
      <c r="AD904" s="60"/>
      <c r="AE904" s="60"/>
      <c r="AF904" s="60"/>
      <c r="AG904" s="60"/>
      <c r="AH904" s="60"/>
      <c r="AI904" s="60"/>
      <c r="AJ904" s="60"/>
    </row>
    <row r="905" spans="1:36" s="59" customFormat="1" ht="35.25">
      <c r="A905" s="193"/>
      <c r="B905" s="203"/>
      <c r="C905" s="186"/>
      <c r="D905" s="186"/>
      <c r="E905" s="186"/>
      <c r="F905" s="186"/>
      <c r="G905" s="186"/>
      <c r="H905" s="186"/>
      <c r="I905" s="186"/>
      <c r="J905" s="186"/>
      <c r="K905" s="186"/>
      <c r="L905" s="370"/>
      <c r="M905" s="370"/>
      <c r="N905" s="370"/>
      <c r="O905" s="370"/>
      <c r="P905" s="370"/>
      <c r="Q905" s="186"/>
      <c r="R905" s="186"/>
      <c r="S905" s="186"/>
      <c r="T905" s="186"/>
      <c r="U905" s="186"/>
      <c r="V905" s="186"/>
      <c r="W905" s="186"/>
      <c r="X905" s="186"/>
      <c r="Y905" s="186"/>
      <c r="Z905" s="305"/>
      <c r="AA905" s="60"/>
      <c r="AB905" s="60"/>
      <c r="AC905" s="60"/>
      <c r="AD905" s="60"/>
      <c r="AE905" s="60"/>
      <c r="AF905" s="60"/>
      <c r="AG905" s="60"/>
      <c r="AH905" s="60"/>
      <c r="AI905" s="60"/>
      <c r="AJ905" s="60"/>
    </row>
    <row r="906" spans="1:36" s="59" customFormat="1" ht="35.25">
      <c r="A906" s="193"/>
      <c r="B906" s="203"/>
      <c r="C906" s="186"/>
      <c r="D906" s="186"/>
      <c r="E906" s="186"/>
      <c r="F906" s="186"/>
      <c r="G906" s="186"/>
      <c r="H906" s="186"/>
      <c r="I906" s="186"/>
      <c r="J906" s="186"/>
      <c r="K906" s="186"/>
      <c r="L906" s="370"/>
      <c r="M906" s="370"/>
      <c r="N906" s="370"/>
      <c r="O906" s="370"/>
      <c r="P906" s="370"/>
      <c r="Q906" s="186"/>
      <c r="R906" s="186"/>
      <c r="S906" s="186"/>
      <c r="T906" s="186"/>
      <c r="U906" s="186"/>
      <c r="V906" s="186"/>
      <c r="W906" s="186"/>
      <c r="X906" s="186"/>
      <c r="Y906" s="186"/>
      <c r="Z906" s="305"/>
      <c r="AA906" s="60"/>
      <c r="AB906" s="60"/>
      <c r="AC906" s="60"/>
      <c r="AD906" s="60"/>
      <c r="AE906" s="60"/>
      <c r="AF906" s="60"/>
      <c r="AG906" s="60"/>
      <c r="AH906" s="60"/>
      <c r="AI906" s="60"/>
      <c r="AJ906" s="60"/>
    </row>
    <row r="907" spans="1:36" s="59" customFormat="1" ht="35.25">
      <c r="A907" s="193"/>
      <c r="B907" s="203"/>
      <c r="C907" s="186"/>
      <c r="D907" s="186"/>
      <c r="E907" s="186"/>
      <c r="F907" s="186"/>
      <c r="G907" s="186"/>
      <c r="H907" s="186"/>
      <c r="I907" s="186"/>
      <c r="J907" s="186"/>
      <c r="K907" s="186"/>
      <c r="L907" s="370"/>
      <c r="M907" s="370"/>
      <c r="N907" s="370"/>
      <c r="O907" s="370"/>
      <c r="P907" s="370"/>
      <c r="Q907" s="186"/>
      <c r="R907" s="186"/>
      <c r="S907" s="186"/>
      <c r="T907" s="186"/>
      <c r="U907" s="186"/>
      <c r="V907" s="186"/>
      <c r="W907" s="186"/>
      <c r="X907" s="186"/>
      <c r="Y907" s="186"/>
      <c r="Z907" s="305"/>
      <c r="AA907" s="60"/>
      <c r="AB907" s="60"/>
      <c r="AC907" s="60"/>
      <c r="AD907" s="60"/>
      <c r="AE907" s="60"/>
      <c r="AF907" s="60"/>
      <c r="AG907" s="60"/>
      <c r="AH907" s="60"/>
      <c r="AI907" s="60"/>
      <c r="AJ907" s="60"/>
    </row>
    <row r="908" spans="1:36" s="59" customFormat="1" ht="35.25">
      <c r="A908" s="193"/>
      <c r="B908" s="203"/>
      <c r="C908" s="186"/>
      <c r="D908" s="186"/>
      <c r="E908" s="186"/>
      <c r="F908" s="186"/>
      <c r="G908" s="186"/>
      <c r="H908" s="186"/>
      <c r="I908" s="186"/>
      <c r="J908" s="186"/>
      <c r="K908" s="186"/>
      <c r="L908" s="370"/>
      <c r="M908" s="370"/>
      <c r="N908" s="370"/>
      <c r="O908" s="370"/>
      <c r="P908" s="370"/>
      <c r="Q908" s="186"/>
      <c r="R908" s="186"/>
      <c r="S908" s="186"/>
      <c r="T908" s="186"/>
      <c r="U908" s="186"/>
      <c r="V908" s="186"/>
      <c r="W908" s="186"/>
      <c r="X908" s="186"/>
      <c r="Y908" s="186"/>
      <c r="Z908" s="305"/>
      <c r="AA908" s="60"/>
      <c r="AB908" s="60"/>
      <c r="AC908" s="60"/>
      <c r="AD908" s="60"/>
      <c r="AE908" s="60"/>
      <c r="AF908" s="60"/>
      <c r="AG908" s="60"/>
      <c r="AH908" s="60"/>
      <c r="AI908" s="60"/>
      <c r="AJ908" s="60"/>
    </row>
    <row r="909" spans="1:36" s="59" customFormat="1" ht="35.25">
      <c r="A909" s="193"/>
      <c r="B909" s="203"/>
      <c r="C909" s="186"/>
      <c r="D909" s="186"/>
      <c r="E909" s="186"/>
      <c r="F909" s="186"/>
      <c r="G909" s="186"/>
      <c r="H909" s="186"/>
      <c r="I909" s="186"/>
      <c r="J909" s="186"/>
      <c r="K909" s="186"/>
      <c r="L909" s="370"/>
      <c r="M909" s="370"/>
      <c r="N909" s="370"/>
      <c r="O909" s="370"/>
      <c r="P909" s="370"/>
      <c r="Q909" s="186"/>
      <c r="R909" s="186"/>
      <c r="S909" s="186"/>
      <c r="T909" s="186"/>
      <c r="U909" s="186"/>
      <c r="V909" s="186"/>
      <c r="W909" s="186"/>
      <c r="X909" s="186"/>
      <c r="Y909" s="186"/>
      <c r="Z909" s="305"/>
      <c r="AA909" s="60"/>
      <c r="AB909" s="60"/>
      <c r="AC909" s="60"/>
      <c r="AD909" s="60"/>
      <c r="AE909" s="60"/>
      <c r="AF909" s="60"/>
      <c r="AG909" s="60"/>
      <c r="AH909" s="60"/>
      <c r="AI909" s="60"/>
      <c r="AJ909" s="60"/>
    </row>
    <row r="910" spans="1:36" s="59" customFormat="1" ht="35.25">
      <c r="A910" s="193"/>
      <c r="B910" s="203"/>
      <c r="C910" s="186"/>
      <c r="D910" s="186"/>
      <c r="E910" s="186"/>
      <c r="F910" s="186"/>
      <c r="G910" s="186"/>
      <c r="H910" s="186"/>
      <c r="I910" s="186"/>
      <c r="J910" s="186"/>
      <c r="K910" s="186"/>
      <c r="L910" s="370"/>
      <c r="M910" s="370"/>
      <c r="N910" s="370"/>
      <c r="O910" s="370"/>
      <c r="P910" s="370"/>
      <c r="Q910" s="186"/>
      <c r="R910" s="186"/>
      <c r="S910" s="186"/>
      <c r="T910" s="186"/>
      <c r="U910" s="186"/>
      <c r="V910" s="186"/>
      <c r="W910" s="186"/>
      <c r="X910" s="186"/>
      <c r="Y910" s="186"/>
      <c r="Z910" s="305"/>
      <c r="AA910" s="60"/>
      <c r="AB910" s="60"/>
      <c r="AC910" s="60"/>
      <c r="AD910" s="60"/>
      <c r="AE910" s="60"/>
      <c r="AF910" s="60"/>
      <c r="AG910" s="60"/>
      <c r="AH910" s="60"/>
      <c r="AI910" s="60"/>
      <c r="AJ910" s="60"/>
    </row>
    <row r="911" spans="1:36" s="59" customFormat="1" ht="35.25">
      <c r="A911" s="193"/>
      <c r="B911" s="203"/>
      <c r="C911" s="186"/>
      <c r="D911" s="186"/>
      <c r="E911" s="186"/>
      <c r="F911" s="186"/>
      <c r="G911" s="186"/>
      <c r="H911" s="186"/>
      <c r="I911" s="186"/>
      <c r="J911" s="186"/>
      <c r="K911" s="186"/>
      <c r="L911" s="370"/>
      <c r="M911" s="370"/>
      <c r="N911" s="370"/>
      <c r="O911" s="370"/>
      <c r="P911" s="370"/>
      <c r="Q911" s="186"/>
      <c r="R911" s="186"/>
      <c r="S911" s="186"/>
      <c r="T911" s="186"/>
      <c r="U911" s="186"/>
      <c r="V911" s="186"/>
      <c r="W911" s="186"/>
      <c r="X911" s="186"/>
      <c r="Y911" s="186"/>
      <c r="Z911" s="305"/>
      <c r="AA911" s="60"/>
      <c r="AB911" s="60"/>
      <c r="AC911" s="60"/>
      <c r="AD911" s="60"/>
      <c r="AE911" s="60"/>
      <c r="AF911" s="60"/>
      <c r="AG911" s="60"/>
      <c r="AH911" s="60"/>
      <c r="AI911" s="60"/>
      <c r="AJ911" s="60"/>
    </row>
    <row r="912" spans="1:36" s="59" customFormat="1" ht="35.25">
      <c r="A912" s="193"/>
      <c r="B912" s="203"/>
      <c r="C912" s="186"/>
      <c r="D912" s="186"/>
      <c r="E912" s="186"/>
      <c r="F912" s="186"/>
      <c r="G912" s="186"/>
      <c r="H912" s="186"/>
      <c r="I912" s="186"/>
      <c r="J912" s="186"/>
      <c r="K912" s="186"/>
      <c r="L912" s="370"/>
      <c r="M912" s="370"/>
      <c r="N912" s="370"/>
      <c r="O912" s="370"/>
      <c r="P912" s="370"/>
      <c r="Q912" s="186"/>
      <c r="R912" s="186"/>
      <c r="S912" s="186"/>
      <c r="T912" s="186"/>
      <c r="U912" s="186"/>
      <c r="V912" s="186"/>
      <c r="W912" s="186"/>
      <c r="X912" s="186"/>
      <c r="Y912" s="186"/>
      <c r="Z912" s="305"/>
      <c r="AA912" s="60"/>
      <c r="AB912" s="60"/>
      <c r="AC912" s="60"/>
      <c r="AD912" s="60"/>
      <c r="AE912" s="60"/>
      <c r="AF912" s="60"/>
      <c r="AG912" s="60"/>
      <c r="AH912" s="60"/>
      <c r="AI912" s="60"/>
      <c r="AJ912" s="60"/>
    </row>
    <row r="913" spans="1:36" s="59" customFormat="1" ht="35.25">
      <c r="A913" s="193"/>
      <c r="B913" s="203"/>
      <c r="C913" s="186"/>
      <c r="D913" s="186"/>
      <c r="E913" s="186"/>
      <c r="F913" s="186"/>
      <c r="G913" s="186"/>
      <c r="H913" s="186"/>
      <c r="I913" s="186"/>
      <c r="J913" s="186"/>
      <c r="K913" s="186"/>
      <c r="L913" s="370"/>
      <c r="M913" s="370"/>
      <c r="N913" s="370"/>
      <c r="O913" s="370"/>
      <c r="P913" s="370"/>
      <c r="Q913" s="186"/>
      <c r="R913" s="186"/>
      <c r="S913" s="186"/>
      <c r="T913" s="186"/>
      <c r="U913" s="186"/>
      <c r="V913" s="186"/>
      <c r="W913" s="186"/>
      <c r="X913" s="186"/>
      <c r="Y913" s="186"/>
      <c r="Z913" s="305"/>
      <c r="AA913" s="60"/>
      <c r="AB913" s="60"/>
      <c r="AC913" s="60"/>
      <c r="AD913" s="60"/>
      <c r="AE913" s="60"/>
      <c r="AF913" s="60"/>
      <c r="AG913" s="60"/>
      <c r="AH913" s="60"/>
      <c r="AI913" s="60"/>
      <c r="AJ913" s="60"/>
    </row>
    <row r="914" spans="1:36" s="59" customFormat="1" ht="35.25">
      <c r="A914" s="193"/>
      <c r="B914" s="203"/>
      <c r="C914" s="186"/>
      <c r="D914" s="186"/>
      <c r="E914" s="186"/>
      <c r="F914" s="186"/>
      <c r="G914" s="186"/>
      <c r="H914" s="186"/>
      <c r="I914" s="186"/>
      <c r="J914" s="186"/>
      <c r="K914" s="186"/>
      <c r="L914" s="370"/>
      <c r="M914" s="370"/>
      <c r="N914" s="370"/>
      <c r="O914" s="370"/>
      <c r="P914" s="370"/>
      <c r="Q914" s="186"/>
      <c r="R914" s="186"/>
      <c r="S914" s="186"/>
      <c r="T914" s="186"/>
      <c r="U914" s="186"/>
      <c r="V914" s="186"/>
      <c r="W914" s="186"/>
      <c r="X914" s="186"/>
      <c r="Y914" s="186"/>
      <c r="Z914" s="305"/>
      <c r="AA914" s="60"/>
      <c r="AB914" s="60"/>
      <c r="AC914" s="60"/>
      <c r="AD914" s="60"/>
      <c r="AE914" s="60"/>
      <c r="AF914" s="60"/>
      <c r="AG914" s="60"/>
      <c r="AH914" s="60"/>
      <c r="AI914" s="60"/>
      <c r="AJ914" s="60"/>
    </row>
    <row r="915" spans="1:36" s="59" customFormat="1" ht="35.25">
      <c r="A915" s="193"/>
      <c r="B915" s="203"/>
      <c r="C915" s="186"/>
      <c r="D915" s="186"/>
      <c r="E915" s="186"/>
      <c r="F915" s="186"/>
      <c r="G915" s="186"/>
      <c r="H915" s="186"/>
      <c r="I915" s="186"/>
      <c r="J915" s="186"/>
      <c r="K915" s="186"/>
      <c r="L915" s="370"/>
      <c r="M915" s="370"/>
      <c r="N915" s="370"/>
      <c r="O915" s="370"/>
      <c r="P915" s="370"/>
      <c r="Q915" s="186"/>
      <c r="R915" s="186"/>
      <c r="S915" s="186"/>
      <c r="T915" s="186"/>
      <c r="U915" s="186"/>
      <c r="V915" s="186"/>
      <c r="W915" s="186"/>
      <c r="X915" s="186"/>
      <c r="Y915" s="186"/>
      <c r="Z915" s="305"/>
      <c r="AA915" s="60"/>
      <c r="AB915" s="60"/>
      <c r="AC915" s="60"/>
      <c r="AD915" s="60"/>
      <c r="AE915" s="60"/>
      <c r="AF915" s="60"/>
      <c r="AG915" s="60"/>
      <c r="AH915" s="60"/>
      <c r="AI915" s="60"/>
      <c r="AJ915" s="60"/>
    </row>
    <row r="916" spans="1:36" s="59" customFormat="1" ht="35.25">
      <c r="A916" s="193"/>
      <c r="B916" s="203"/>
      <c r="C916" s="186"/>
      <c r="D916" s="186"/>
      <c r="E916" s="186"/>
      <c r="F916" s="186"/>
      <c r="G916" s="186"/>
      <c r="H916" s="186"/>
      <c r="I916" s="186"/>
      <c r="J916" s="186"/>
      <c r="K916" s="186"/>
      <c r="L916" s="370"/>
      <c r="M916" s="370"/>
      <c r="N916" s="370"/>
      <c r="O916" s="370"/>
      <c r="P916" s="370"/>
      <c r="Q916" s="186"/>
      <c r="R916" s="186"/>
      <c r="S916" s="186"/>
      <c r="T916" s="186"/>
      <c r="U916" s="186"/>
      <c r="V916" s="186"/>
      <c r="W916" s="186"/>
      <c r="X916" s="186"/>
      <c r="Y916" s="186"/>
      <c r="Z916" s="305"/>
      <c r="AA916" s="60"/>
      <c r="AB916" s="60"/>
      <c r="AC916" s="60"/>
      <c r="AD916" s="60"/>
      <c r="AE916" s="60"/>
      <c r="AF916" s="60"/>
      <c r="AG916" s="60"/>
      <c r="AH916" s="60"/>
      <c r="AI916" s="60"/>
      <c r="AJ916" s="60"/>
    </row>
    <row r="917" spans="1:36" s="59" customFormat="1" ht="35.25">
      <c r="A917" s="193"/>
      <c r="B917" s="203"/>
      <c r="C917" s="186"/>
      <c r="D917" s="186"/>
      <c r="E917" s="186"/>
      <c r="F917" s="186"/>
      <c r="G917" s="186"/>
      <c r="H917" s="186"/>
      <c r="I917" s="186"/>
      <c r="J917" s="186"/>
      <c r="K917" s="186"/>
      <c r="L917" s="370"/>
      <c r="M917" s="370"/>
      <c r="N917" s="370"/>
      <c r="O917" s="370"/>
      <c r="P917" s="370"/>
      <c r="Q917" s="186"/>
      <c r="R917" s="186"/>
      <c r="S917" s="186"/>
      <c r="T917" s="186"/>
      <c r="U917" s="186"/>
      <c r="V917" s="186"/>
      <c r="W917" s="186"/>
      <c r="X917" s="186"/>
      <c r="Y917" s="186"/>
      <c r="Z917" s="305"/>
      <c r="AA917" s="60"/>
      <c r="AB917" s="60"/>
      <c r="AC917" s="60"/>
      <c r="AD917" s="60"/>
      <c r="AE917" s="60"/>
      <c r="AF917" s="60"/>
      <c r="AG917" s="60"/>
      <c r="AH917" s="60"/>
      <c r="AI917" s="60"/>
      <c r="AJ917" s="60"/>
    </row>
    <row r="918" spans="1:36" s="59" customFormat="1" ht="35.25">
      <c r="A918" s="193"/>
      <c r="B918" s="203"/>
      <c r="C918" s="186"/>
      <c r="D918" s="186"/>
      <c r="E918" s="186"/>
      <c r="F918" s="186"/>
      <c r="G918" s="186"/>
      <c r="H918" s="186"/>
      <c r="I918" s="186"/>
      <c r="J918" s="186"/>
      <c r="K918" s="186"/>
      <c r="L918" s="370"/>
      <c r="M918" s="370"/>
      <c r="N918" s="370"/>
      <c r="O918" s="370"/>
      <c r="P918" s="370"/>
      <c r="Q918" s="186"/>
      <c r="R918" s="186"/>
      <c r="S918" s="186"/>
      <c r="T918" s="186"/>
      <c r="U918" s="186"/>
      <c r="V918" s="186"/>
      <c r="W918" s="186"/>
      <c r="X918" s="186"/>
      <c r="Y918" s="186"/>
      <c r="Z918" s="305"/>
      <c r="AA918" s="60"/>
      <c r="AB918" s="60"/>
      <c r="AC918" s="60"/>
      <c r="AD918" s="60"/>
      <c r="AE918" s="60"/>
      <c r="AF918" s="60"/>
      <c r="AG918" s="60"/>
      <c r="AH918" s="60"/>
      <c r="AI918" s="60"/>
      <c r="AJ918" s="60"/>
    </row>
    <row r="919" spans="1:36" s="59" customFormat="1" ht="35.25">
      <c r="A919" s="193"/>
      <c r="B919" s="203"/>
      <c r="C919" s="186"/>
      <c r="D919" s="186"/>
      <c r="E919" s="186"/>
      <c r="F919" s="186"/>
      <c r="G919" s="186"/>
      <c r="H919" s="186"/>
      <c r="I919" s="186"/>
      <c r="J919" s="186"/>
      <c r="K919" s="186"/>
      <c r="L919" s="370"/>
      <c r="M919" s="370"/>
      <c r="N919" s="370"/>
      <c r="O919" s="370"/>
      <c r="P919" s="370"/>
      <c r="Q919" s="186"/>
      <c r="R919" s="186"/>
      <c r="S919" s="186"/>
      <c r="T919" s="186"/>
      <c r="U919" s="186"/>
      <c r="V919" s="186"/>
      <c r="W919" s="186"/>
      <c r="X919" s="186"/>
      <c r="Y919" s="186"/>
      <c r="Z919" s="305"/>
      <c r="AA919" s="60"/>
      <c r="AB919" s="60"/>
      <c r="AC919" s="60"/>
      <c r="AD919" s="60"/>
      <c r="AE919" s="60"/>
      <c r="AF919" s="60"/>
      <c r="AG919" s="60"/>
      <c r="AH919" s="60"/>
      <c r="AI919" s="60"/>
      <c r="AJ919" s="60"/>
    </row>
    <row r="920" spans="1:36" s="59" customFormat="1" ht="35.25">
      <c r="A920" s="193"/>
      <c r="B920" s="203"/>
      <c r="C920" s="186"/>
      <c r="D920" s="186"/>
      <c r="E920" s="186"/>
      <c r="F920" s="186"/>
      <c r="G920" s="186"/>
      <c r="H920" s="186"/>
      <c r="I920" s="186"/>
      <c r="J920" s="186"/>
      <c r="K920" s="186"/>
      <c r="L920" s="370"/>
      <c r="M920" s="370"/>
      <c r="N920" s="370"/>
      <c r="O920" s="370"/>
      <c r="P920" s="370"/>
      <c r="Q920" s="186"/>
      <c r="R920" s="186"/>
      <c r="S920" s="186"/>
      <c r="T920" s="186"/>
      <c r="U920" s="186"/>
      <c r="V920" s="186"/>
      <c r="W920" s="186"/>
      <c r="X920" s="186"/>
      <c r="Y920" s="186"/>
      <c r="Z920" s="305"/>
      <c r="AA920" s="60"/>
      <c r="AB920" s="60"/>
      <c r="AC920" s="60"/>
      <c r="AD920" s="60"/>
      <c r="AE920" s="60"/>
      <c r="AF920" s="60"/>
      <c r="AG920" s="60"/>
      <c r="AH920" s="60"/>
      <c r="AI920" s="60"/>
      <c r="AJ920" s="60"/>
    </row>
    <row r="921" spans="1:36" s="59" customFormat="1" ht="35.25">
      <c r="A921" s="193"/>
      <c r="B921" s="203"/>
      <c r="C921" s="186"/>
      <c r="D921" s="186"/>
      <c r="E921" s="186"/>
      <c r="F921" s="186"/>
      <c r="G921" s="186"/>
      <c r="H921" s="186"/>
      <c r="I921" s="186"/>
      <c r="J921" s="186"/>
      <c r="K921" s="186"/>
      <c r="L921" s="370"/>
      <c r="M921" s="370"/>
      <c r="N921" s="370"/>
      <c r="O921" s="370"/>
      <c r="P921" s="370"/>
      <c r="Q921" s="186"/>
      <c r="R921" s="186"/>
      <c r="S921" s="186"/>
      <c r="T921" s="186"/>
      <c r="U921" s="186"/>
      <c r="V921" s="186"/>
      <c r="W921" s="186"/>
      <c r="X921" s="186"/>
      <c r="Y921" s="186"/>
      <c r="Z921" s="305"/>
      <c r="AA921" s="60"/>
      <c r="AB921" s="60"/>
      <c r="AC921" s="60"/>
      <c r="AD921" s="60"/>
      <c r="AE921" s="60"/>
      <c r="AF921" s="60"/>
      <c r="AG921" s="60"/>
      <c r="AH921" s="60"/>
      <c r="AI921" s="60"/>
      <c r="AJ921" s="60"/>
    </row>
    <row r="922" spans="1:36" s="59" customFormat="1" ht="35.25">
      <c r="A922" s="193"/>
      <c r="B922" s="203"/>
      <c r="C922" s="186"/>
      <c r="D922" s="186"/>
      <c r="E922" s="186"/>
      <c r="F922" s="186"/>
      <c r="G922" s="186"/>
      <c r="H922" s="186"/>
      <c r="I922" s="186"/>
      <c r="J922" s="186"/>
      <c r="K922" s="186"/>
      <c r="L922" s="370"/>
      <c r="M922" s="370"/>
      <c r="N922" s="370"/>
      <c r="O922" s="370"/>
      <c r="P922" s="370"/>
      <c r="Q922" s="186"/>
      <c r="R922" s="186"/>
      <c r="S922" s="186"/>
      <c r="T922" s="186"/>
      <c r="U922" s="186"/>
      <c r="V922" s="186"/>
      <c r="W922" s="186"/>
      <c r="X922" s="186"/>
      <c r="Y922" s="186"/>
      <c r="Z922" s="305"/>
      <c r="AA922" s="60"/>
      <c r="AB922" s="60"/>
      <c r="AC922" s="60"/>
      <c r="AD922" s="60"/>
      <c r="AE922" s="60"/>
      <c r="AF922" s="60"/>
      <c r="AG922" s="60"/>
      <c r="AH922" s="60"/>
      <c r="AI922" s="60"/>
      <c r="AJ922" s="60"/>
    </row>
    <row r="923" spans="1:36" s="59" customFormat="1" ht="35.25">
      <c r="A923" s="193"/>
      <c r="B923" s="203"/>
      <c r="C923" s="186"/>
      <c r="D923" s="186"/>
      <c r="E923" s="186"/>
      <c r="F923" s="186"/>
      <c r="G923" s="186"/>
      <c r="H923" s="186"/>
      <c r="I923" s="186"/>
      <c r="J923" s="186"/>
      <c r="K923" s="186"/>
      <c r="L923" s="370"/>
      <c r="M923" s="370"/>
      <c r="N923" s="370"/>
      <c r="O923" s="370"/>
      <c r="P923" s="370"/>
      <c r="Q923" s="186"/>
      <c r="R923" s="186"/>
      <c r="S923" s="186"/>
      <c r="T923" s="186"/>
      <c r="U923" s="186"/>
      <c r="V923" s="186"/>
      <c r="W923" s="186"/>
      <c r="X923" s="186"/>
      <c r="Y923" s="186"/>
      <c r="Z923" s="305"/>
      <c r="AA923" s="60"/>
      <c r="AB923" s="60"/>
      <c r="AC923" s="60"/>
      <c r="AD923" s="60"/>
      <c r="AE923" s="60"/>
      <c r="AF923" s="60"/>
      <c r="AG923" s="60"/>
      <c r="AH923" s="60"/>
      <c r="AI923" s="60"/>
      <c r="AJ923" s="60"/>
    </row>
    <row r="924" spans="1:36" s="59" customFormat="1" ht="35.25">
      <c r="A924" s="193"/>
      <c r="B924" s="203"/>
      <c r="C924" s="186"/>
      <c r="D924" s="186"/>
      <c r="E924" s="186"/>
      <c r="F924" s="186"/>
      <c r="G924" s="186"/>
      <c r="H924" s="186"/>
      <c r="I924" s="186"/>
      <c r="J924" s="186"/>
      <c r="K924" s="186"/>
      <c r="L924" s="370"/>
      <c r="M924" s="370"/>
      <c r="N924" s="370"/>
      <c r="O924" s="370"/>
      <c r="P924" s="370"/>
      <c r="Q924" s="186"/>
      <c r="R924" s="186"/>
      <c r="S924" s="186"/>
      <c r="T924" s="186"/>
      <c r="U924" s="186"/>
      <c r="V924" s="186"/>
      <c r="W924" s="186"/>
      <c r="X924" s="186"/>
      <c r="Y924" s="186"/>
      <c r="Z924" s="305"/>
      <c r="AA924" s="60"/>
      <c r="AB924" s="60"/>
      <c r="AC924" s="60"/>
      <c r="AD924" s="60"/>
      <c r="AE924" s="60"/>
      <c r="AF924" s="60"/>
      <c r="AG924" s="60"/>
      <c r="AH924" s="60"/>
      <c r="AI924" s="60"/>
      <c r="AJ924" s="60"/>
    </row>
    <row r="925" spans="1:36" s="59" customFormat="1" ht="35.25">
      <c r="A925" s="193"/>
      <c r="B925" s="203"/>
      <c r="C925" s="186"/>
      <c r="D925" s="186"/>
      <c r="E925" s="186"/>
      <c r="F925" s="186"/>
      <c r="G925" s="186"/>
      <c r="H925" s="186"/>
      <c r="I925" s="186"/>
      <c r="J925" s="186"/>
      <c r="K925" s="186"/>
      <c r="L925" s="370"/>
      <c r="M925" s="370"/>
      <c r="N925" s="370"/>
      <c r="O925" s="370"/>
      <c r="P925" s="370"/>
      <c r="Q925" s="186"/>
      <c r="R925" s="186"/>
      <c r="S925" s="186"/>
      <c r="T925" s="186"/>
      <c r="U925" s="186"/>
      <c r="V925" s="186"/>
      <c r="W925" s="186"/>
      <c r="X925" s="186"/>
      <c r="Y925" s="186"/>
      <c r="Z925" s="305"/>
      <c r="AA925" s="60"/>
      <c r="AB925" s="60"/>
      <c r="AC925" s="60"/>
      <c r="AD925" s="60"/>
      <c r="AE925" s="60"/>
      <c r="AF925" s="60"/>
      <c r="AG925" s="60"/>
      <c r="AH925" s="60"/>
      <c r="AI925" s="60"/>
      <c r="AJ925" s="60"/>
    </row>
    <row r="926" spans="1:36" s="59" customFormat="1" ht="35.25">
      <c r="A926" s="193"/>
      <c r="B926" s="203"/>
      <c r="C926" s="186"/>
      <c r="D926" s="186"/>
      <c r="E926" s="186"/>
      <c r="F926" s="186"/>
      <c r="G926" s="186"/>
      <c r="H926" s="186"/>
      <c r="I926" s="186"/>
      <c r="J926" s="186"/>
      <c r="K926" s="186"/>
      <c r="L926" s="370"/>
      <c r="M926" s="370"/>
      <c r="N926" s="370"/>
      <c r="O926" s="370"/>
      <c r="P926" s="370"/>
      <c r="Q926" s="186"/>
      <c r="R926" s="186"/>
      <c r="S926" s="186"/>
      <c r="T926" s="186"/>
      <c r="U926" s="186"/>
      <c r="V926" s="186"/>
      <c r="W926" s="186"/>
      <c r="X926" s="186"/>
      <c r="Y926" s="186"/>
      <c r="Z926" s="305"/>
      <c r="AA926" s="60"/>
      <c r="AB926" s="60"/>
      <c r="AC926" s="60"/>
      <c r="AD926" s="60"/>
      <c r="AE926" s="60"/>
      <c r="AF926" s="60"/>
      <c r="AG926" s="60"/>
      <c r="AH926" s="60"/>
      <c r="AI926" s="60"/>
      <c r="AJ926" s="60"/>
    </row>
    <row r="927" spans="1:36" s="59" customFormat="1" ht="35.25">
      <c r="A927" s="193"/>
      <c r="B927" s="203"/>
      <c r="C927" s="186"/>
      <c r="D927" s="186"/>
      <c r="E927" s="186"/>
      <c r="F927" s="186"/>
      <c r="G927" s="186"/>
      <c r="H927" s="186"/>
      <c r="I927" s="186"/>
      <c r="J927" s="186"/>
      <c r="K927" s="186"/>
      <c r="L927" s="370"/>
      <c r="M927" s="370"/>
      <c r="N927" s="370"/>
      <c r="O927" s="370"/>
      <c r="P927" s="370"/>
      <c r="Q927" s="186"/>
      <c r="R927" s="186"/>
      <c r="S927" s="186"/>
      <c r="T927" s="186"/>
      <c r="U927" s="186"/>
      <c r="V927" s="186"/>
      <c r="W927" s="186"/>
      <c r="X927" s="186"/>
      <c r="Y927" s="186"/>
      <c r="Z927" s="305"/>
      <c r="AA927" s="60"/>
      <c r="AB927" s="60"/>
      <c r="AC927" s="60"/>
      <c r="AD927" s="60"/>
      <c r="AE927" s="60"/>
      <c r="AF927" s="60"/>
      <c r="AG927" s="60"/>
      <c r="AH927" s="60"/>
      <c r="AI927" s="60"/>
      <c r="AJ927" s="60"/>
    </row>
    <row r="928" spans="1:36" s="59" customFormat="1" ht="35.25">
      <c r="A928" s="193"/>
      <c r="B928" s="203"/>
      <c r="C928" s="186"/>
      <c r="D928" s="186"/>
      <c r="E928" s="186"/>
      <c r="F928" s="186"/>
      <c r="G928" s="186"/>
      <c r="H928" s="186"/>
      <c r="I928" s="186"/>
      <c r="J928" s="186"/>
      <c r="K928" s="186"/>
      <c r="L928" s="370"/>
      <c r="M928" s="370"/>
      <c r="N928" s="370"/>
      <c r="O928" s="370"/>
      <c r="P928" s="370"/>
      <c r="Q928" s="186"/>
      <c r="R928" s="186"/>
      <c r="S928" s="186"/>
      <c r="T928" s="186"/>
      <c r="U928" s="186"/>
      <c r="V928" s="186"/>
      <c r="W928" s="186"/>
      <c r="X928" s="186"/>
      <c r="Y928" s="186"/>
      <c r="Z928" s="305"/>
      <c r="AA928" s="60"/>
      <c r="AB928" s="60"/>
      <c r="AC928" s="60"/>
      <c r="AD928" s="60"/>
      <c r="AE928" s="60"/>
      <c r="AF928" s="60"/>
      <c r="AG928" s="60"/>
      <c r="AH928" s="60"/>
      <c r="AI928" s="60"/>
      <c r="AJ928" s="60"/>
    </row>
    <row r="929" spans="1:36" s="59" customFormat="1" ht="35.25">
      <c r="A929" s="193"/>
      <c r="B929" s="203"/>
      <c r="C929" s="186"/>
      <c r="D929" s="186"/>
      <c r="E929" s="186"/>
      <c r="F929" s="186"/>
      <c r="G929" s="186"/>
      <c r="H929" s="186"/>
      <c r="I929" s="186"/>
      <c r="J929" s="186"/>
      <c r="K929" s="186"/>
      <c r="L929" s="370"/>
      <c r="M929" s="370"/>
      <c r="N929" s="370"/>
      <c r="O929" s="370"/>
      <c r="P929" s="370"/>
      <c r="Q929" s="186"/>
      <c r="R929" s="186"/>
      <c r="S929" s="186"/>
      <c r="T929" s="186"/>
      <c r="U929" s="186"/>
      <c r="V929" s="186"/>
      <c r="W929" s="186"/>
      <c r="X929" s="186"/>
      <c r="Y929" s="186"/>
      <c r="Z929" s="305"/>
      <c r="AA929" s="60"/>
      <c r="AB929" s="60"/>
      <c r="AC929" s="60"/>
      <c r="AD929" s="60"/>
      <c r="AE929" s="60"/>
      <c r="AF929" s="60"/>
      <c r="AG929" s="60"/>
      <c r="AH929" s="60"/>
      <c r="AI929" s="60"/>
      <c r="AJ929" s="60"/>
    </row>
    <row r="930" spans="1:36" s="59" customFormat="1" ht="35.25">
      <c r="A930" s="193"/>
      <c r="B930" s="203"/>
      <c r="C930" s="186"/>
      <c r="D930" s="186"/>
      <c r="E930" s="186"/>
      <c r="F930" s="186"/>
      <c r="G930" s="186"/>
      <c r="H930" s="186"/>
      <c r="I930" s="186"/>
      <c r="J930" s="186"/>
      <c r="K930" s="186"/>
      <c r="L930" s="370"/>
      <c r="M930" s="370"/>
      <c r="N930" s="370"/>
      <c r="O930" s="370"/>
      <c r="P930" s="370"/>
      <c r="Q930" s="186"/>
      <c r="R930" s="186"/>
      <c r="S930" s="186"/>
      <c r="T930" s="186"/>
      <c r="U930" s="186"/>
      <c r="V930" s="186"/>
      <c r="W930" s="186"/>
      <c r="X930" s="186"/>
      <c r="Y930" s="186"/>
      <c r="Z930" s="305"/>
      <c r="AA930" s="60"/>
      <c r="AB930" s="60"/>
      <c r="AC930" s="60"/>
      <c r="AD930" s="60"/>
      <c r="AE930" s="60"/>
      <c r="AF930" s="60"/>
      <c r="AG930" s="60"/>
      <c r="AH930" s="60"/>
      <c r="AI930" s="60"/>
      <c r="AJ930" s="60"/>
    </row>
    <row r="931" spans="1:36" s="59" customFormat="1" ht="35.25">
      <c r="A931" s="193"/>
      <c r="B931" s="203"/>
      <c r="C931" s="186"/>
      <c r="D931" s="186"/>
      <c r="E931" s="186"/>
      <c r="F931" s="186"/>
      <c r="G931" s="186"/>
      <c r="H931" s="186"/>
      <c r="I931" s="186"/>
      <c r="J931" s="186"/>
      <c r="K931" s="186"/>
      <c r="L931" s="370"/>
      <c r="M931" s="370"/>
      <c r="N931" s="370"/>
      <c r="O931" s="370"/>
      <c r="P931" s="370"/>
      <c r="Q931" s="186"/>
      <c r="R931" s="186"/>
      <c r="S931" s="186"/>
      <c r="T931" s="186"/>
      <c r="U931" s="186"/>
      <c r="V931" s="186"/>
      <c r="W931" s="186"/>
      <c r="X931" s="186"/>
      <c r="Y931" s="186"/>
      <c r="Z931" s="305"/>
      <c r="AA931" s="60"/>
      <c r="AB931" s="60"/>
      <c r="AC931" s="60"/>
      <c r="AD931" s="60"/>
      <c r="AE931" s="60"/>
      <c r="AF931" s="60"/>
      <c r="AG931" s="60"/>
      <c r="AH931" s="60"/>
      <c r="AI931" s="60"/>
      <c r="AJ931" s="60"/>
    </row>
    <row r="932" spans="1:36" s="59" customFormat="1" ht="35.25">
      <c r="A932" s="193"/>
      <c r="B932" s="203"/>
      <c r="C932" s="186"/>
      <c r="D932" s="186"/>
      <c r="E932" s="186"/>
      <c r="F932" s="186"/>
      <c r="G932" s="186"/>
      <c r="H932" s="186"/>
      <c r="I932" s="186"/>
      <c r="J932" s="186"/>
      <c r="K932" s="186"/>
      <c r="L932" s="370"/>
      <c r="M932" s="370"/>
      <c r="N932" s="370"/>
      <c r="O932" s="370"/>
      <c r="P932" s="370"/>
      <c r="Q932" s="186"/>
      <c r="R932" s="186"/>
      <c r="S932" s="186"/>
      <c r="T932" s="186"/>
      <c r="U932" s="186"/>
      <c r="V932" s="186"/>
      <c r="W932" s="186"/>
      <c r="X932" s="186"/>
      <c r="Y932" s="186"/>
      <c r="Z932" s="305"/>
      <c r="AA932" s="60"/>
      <c r="AB932" s="60"/>
      <c r="AC932" s="60"/>
      <c r="AD932" s="60"/>
      <c r="AE932" s="60"/>
      <c r="AF932" s="60"/>
      <c r="AG932" s="60"/>
      <c r="AH932" s="60"/>
      <c r="AI932" s="60"/>
      <c r="AJ932" s="60"/>
    </row>
    <row r="933" spans="1:36" s="59" customFormat="1" ht="35.25">
      <c r="A933" s="193"/>
      <c r="B933" s="203"/>
      <c r="C933" s="186"/>
      <c r="D933" s="186"/>
      <c r="E933" s="186"/>
      <c r="F933" s="186"/>
      <c r="G933" s="186"/>
      <c r="H933" s="186"/>
      <c r="I933" s="186"/>
      <c r="J933" s="186"/>
      <c r="K933" s="186"/>
      <c r="L933" s="370"/>
      <c r="M933" s="370"/>
      <c r="N933" s="370"/>
      <c r="O933" s="370"/>
      <c r="P933" s="370"/>
      <c r="Q933" s="186"/>
      <c r="R933" s="186"/>
      <c r="S933" s="186"/>
      <c r="T933" s="186"/>
      <c r="U933" s="186"/>
      <c r="V933" s="186"/>
      <c r="W933" s="186"/>
      <c r="X933" s="186"/>
      <c r="Y933" s="186"/>
      <c r="Z933" s="305"/>
      <c r="AA933" s="60"/>
      <c r="AB933" s="60"/>
      <c r="AC933" s="60"/>
      <c r="AD933" s="60"/>
      <c r="AE933" s="60"/>
      <c r="AF933" s="60"/>
      <c r="AG933" s="60"/>
      <c r="AH933" s="60"/>
      <c r="AI933" s="60"/>
      <c r="AJ933" s="60"/>
    </row>
    <row r="934" spans="1:36" s="59" customFormat="1" ht="35.25">
      <c r="A934" s="193"/>
      <c r="B934" s="203"/>
      <c r="C934" s="186"/>
      <c r="D934" s="186"/>
      <c r="E934" s="186"/>
      <c r="F934" s="186"/>
      <c r="G934" s="186"/>
      <c r="H934" s="186"/>
      <c r="I934" s="186"/>
      <c r="J934" s="186"/>
      <c r="K934" s="186"/>
      <c r="L934" s="370"/>
      <c r="M934" s="370"/>
      <c r="N934" s="370"/>
      <c r="O934" s="370"/>
      <c r="P934" s="370"/>
      <c r="Q934" s="186"/>
      <c r="R934" s="186"/>
      <c r="S934" s="186"/>
      <c r="T934" s="186"/>
      <c r="U934" s="186"/>
      <c r="V934" s="186"/>
      <c r="W934" s="186"/>
      <c r="X934" s="186"/>
      <c r="Y934" s="186"/>
      <c r="Z934" s="305"/>
      <c r="AA934" s="60"/>
      <c r="AB934" s="60"/>
      <c r="AC934" s="60"/>
      <c r="AD934" s="60"/>
      <c r="AE934" s="60"/>
      <c r="AF934" s="60"/>
      <c r="AG934" s="60"/>
      <c r="AH934" s="60"/>
      <c r="AI934" s="60"/>
      <c r="AJ934" s="60"/>
    </row>
    <row r="935" spans="1:36" s="59" customFormat="1" ht="35.25">
      <c r="A935" s="193"/>
      <c r="B935" s="203"/>
      <c r="C935" s="186"/>
      <c r="D935" s="186"/>
      <c r="E935" s="186"/>
      <c r="F935" s="186"/>
      <c r="G935" s="186"/>
      <c r="H935" s="186"/>
      <c r="I935" s="186"/>
      <c r="J935" s="186"/>
      <c r="K935" s="186"/>
      <c r="L935" s="370"/>
      <c r="M935" s="370"/>
      <c r="N935" s="370"/>
      <c r="O935" s="370"/>
      <c r="P935" s="370"/>
      <c r="Q935" s="186"/>
      <c r="R935" s="186"/>
      <c r="S935" s="186"/>
      <c r="T935" s="186"/>
      <c r="U935" s="186"/>
      <c r="V935" s="186"/>
      <c r="W935" s="186"/>
      <c r="X935" s="186"/>
      <c r="Y935" s="186"/>
      <c r="Z935" s="305"/>
      <c r="AA935" s="60"/>
      <c r="AB935" s="60"/>
      <c r="AC935" s="60"/>
      <c r="AD935" s="60"/>
      <c r="AE935" s="60"/>
      <c r="AF935" s="60"/>
      <c r="AG935" s="60"/>
      <c r="AH935" s="60"/>
      <c r="AI935" s="60"/>
      <c r="AJ935" s="60"/>
    </row>
    <row r="936" spans="1:36" s="59" customFormat="1" ht="35.25">
      <c r="A936" s="193"/>
      <c r="B936" s="203"/>
      <c r="C936" s="186"/>
      <c r="D936" s="186"/>
      <c r="E936" s="186"/>
      <c r="F936" s="186"/>
      <c r="G936" s="186"/>
      <c r="H936" s="186"/>
      <c r="I936" s="186"/>
      <c r="J936" s="186"/>
      <c r="K936" s="186"/>
      <c r="L936" s="370"/>
      <c r="M936" s="370"/>
      <c r="N936" s="370"/>
      <c r="O936" s="370"/>
      <c r="P936" s="370"/>
      <c r="Q936" s="186"/>
      <c r="R936" s="186"/>
      <c r="S936" s="186"/>
      <c r="T936" s="186"/>
      <c r="U936" s="186"/>
      <c r="V936" s="186"/>
      <c r="W936" s="186"/>
      <c r="X936" s="186"/>
      <c r="Y936" s="186"/>
      <c r="Z936" s="305"/>
      <c r="AA936" s="60"/>
      <c r="AB936" s="60"/>
      <c r="AC936" s="60"/>
      <c r="AD936" s="60"/>
      <c r="AE936" s="60"/>
      <c r="AF936" s="60"/>
      <c r="AG936" s="60"/>
      <c r="AH936" s="60"/>
      <c r="AI936" s="60"/>
      <c r="AJ936" s="60"/>
    </row>
    <row r="937" spans="1:36" s="59" customFormat="1" ht="35.25">
      <c r="A937" s="193"/>
      <c r="B937" s="203"/>
      <c r="C937" s="186"/>
      <c r="D937" s="186"/>
      <c r="E937" s="186"/>
      <c r="F937" s="186"/>
      <c r="G937" s="186"/>
      <c r="H937" s="186"/>
      <c r="I937" s="186"/>
      <c r="J937" s="186"/>
      <c r="K937" s="186"/>
      <c r="L937" s="370"/>
      <c r="M937" s="370"/>
      <c r="N937" s="370"/>
      <c r="O937" s="370"/>
      <c r="P937" s="370"/>
      <c r="Q937" s="186"/>
      <c r="R937" s="186"/>
      <c r="S937" s="186"/>
      <c r="T937" s="186"/>
      <c r="U937" s="186"/>
      <c r="V937" s="186"/>
      <c r="W937" s="186"/>
      <c r="X937" s="186"/>
      <c r="Y937" s="186"/>
      <c r="Z937" s="305"/>
      <c r="AA937" s="60"/>
      <c r="AB937" s="60"/>
      <c r="AC937" s="60"/>
      <c r="AD937" s="60"/>
      <c r="AE937" s="60"/>
      <c r="AF937" s="60"/>
      <c r="AG937" s="60"/>
      <c r="AH937" s="60"/>
      <c r="AI937" s="60"/>
      <c r="AJ937" s="60"/>
    </row>
    <row r="938" spans="1:36" s="59" customFormat="1" ht="35.25">
      <c r="A938" s="193"/>
      <c r="B938" s="203"/>
      <c r="C938" s="186"/>
      <c r="D938" s="186"/>
      <c r="E938" s="186"/>
      <c r="F938" s="186"/>
      <c r="G938" s="186"/>
      <c r="H938" s="186"/>
      <c r="I938" s="186"/>
      <c r="J938" s="186"/>
      <c r="K938" s="186"/>
      <c r="L938" s="370"/>
      <c r="M938" s="370"/>
      <c r="N938" s="370"/>
      <c r="O938" s="370"/>
      <c r="P938" s="370"/>
      <c r="Q938" s="186"/>
      <c r="R938" s="186"/>
      <c r="S938" s="186"/>
      <c r="T938" s="186"/>
      <c r="U938" s="186"/>
      <c r="V938" s="186"/>
      <c r="W938" s="186"/>
      <c r="X938" s="186"/>
      <c r="Y938" s="186"/>
      <c r="Z938" s="305"/>
      <c r="AA938" s="60"/>
      <c r="AB938" s="60"/>
      <c r="AC938" s="60"/>
      <c r="AD938" s="60"/>
      <c r="AE938" s="60"/>
      <c r="AF938" s="60"/>
      <c r="AG938" s="60"/>
      <c r="AH938" s="60"/>
      <c r="AI938" s="60"/>
      <c r="AJ938" s="60"/>
    </row>
    <row r="939" spans="1:36" s="59" customFormat="1" ht="35.25">
      <c r="A939" s="193"/>
      <c r="B939" s="203"/>
      <c r="C939" s="186"/>
      <c r="D939" s="186"/>
      <c r="E939" s="186"/>
      <c r="F939" s="186"/>
      <c r="G939" s="186"/>
      <c r="H939" s="186"/>
      <c r="I939" s="186"/>
      <c r="J939" s="186"/>
      <c r="K939" s="186"/>
      <c r="L939" s="370"/>
      <c r="M939" s="370"/>
      <c r="N939" s="370"/>
      <c r="O939" s="370"/>
      <c r="P939" s="370"/>
      <c r="Q939" s="186"/>
      <c r="R939" s="186"/>
      <c r="S939" s="186"/>
      <c r="T939" s="186"/>
      <c r="U939" s="186"/>
      <c r="V939" s="186"/>
      <c r="W939" s="186"/>
      <c r="X939" s="186"/>
      <c r="Y939" s="186"/>
      <c r="Z939" s="305"/>
      <c r="AA939" s="60"/>
      <c r="AB939" s="60"/>
      <c r="AC939" s="60"/>
      <c r="AD939" s="60"/>
      <c r="AE939" s="60"/>
      <c r="AF939" s="60"/>
      <c r="AG939" s="60"/>
      <c r="AH939" s="60"/>
      <c r="AI939" s="60"/>
      <c r="AJ939" s="60"/>
    </row>
    <row r="940" spans="1:36" s="59" customFormat="1" ht="35.25">
      <c r="A940" s="193"/>
      <c r="B940" s="203"/>
      <c r="C940" s="186"/>
      <c r="D940" s="186"/>
      <c r="E940" s="186"/>
      <c r="F940" s="186"/>
      <c r="G940" s="186"/>
      <c r="H940" s="186"/>
      <c r="I940" s="186"/>
      <c r="J940" s="186"/>
      <c r="K940" s="186"/>
      <c r="L940" s="370"/>
      <c r="M940" s="370"/>
      <c r="N940" s="370"/>
      <c r="O940" s="370"/>
      <c r="P940" s="370"/>
      <c r="Q940" s="186"/>
      <c r="R940" s="186"/>
      <c r="S940" s="186"/>
      <c r="T940" s="186"/>
      <c r="U940" s="186"/>
      <c r="V940" s="186"/>
      <c r="W940" s="186"/>
      <c r="X940" s="186"/>
      <c r="Y940" s="186"/>
      <c r="Z940" s="305"/>
      <c r="AA940" s="60"/>
      <c r="AB940" s="60"/>
      <c r="AC940" s="60"/>
      <c r="AD940" s="60"/>
      <c r="AE940" s="60"/>
      <c r="AF940" s="60"/>
      <c r="AG940" s="60"/>
      <c r="AH940" s="60"/>
      <c r="AI940" s="60"/>
      <c r="AJ940" s="60"/>
    </row>
    <row r="941" spans="1:36" s="59" customFormat="1" ht="35.25">
      <c r="A941" s="193"/>
      <c r="B941" s="203"/>
      <c r="C941" s="186"/>
      <c r="D941" s="186"/>
      <c r="E941" s="186"/>
      <c r="F941" s="186"/>
      <c r="G941" s="186"/>
      <c r="H941" s="186"/>
      <c r="I941" s="186"/>
      <c r="J941" s="186"/>
      <c r="K941" s="186"/>
      <c r="L941" s="370"/>
      <c r="M941" s="370"/>
      <c r="N941" s="370"/>
      <c r="O941" s="370"/>
      <c r="P941" s="370"/>
      <c r="Q941" s="186"/>
      <c r="R941" s="186"/>
      <c r="S941" s="186"/>
      <c r="T941" s="186"/>
      <c r="U941" s="186"/>
      <c r="V941" s="186"/>
      <c r="W941" s="186"/>
      <c r="X941" s="186"/>
      <c r="Y941" s="186"/>
      <c r="Z941" s="305"/>
      <c r="AA941" s="60"/>
      <c r="AB941" s="60"/>
      <c r="AC941" s="60"/>
      <c r="AD941" s="60"/>
      <c r="AE941" s="60"/>
      <c r="AF941" s="60"/>
      <c r="AG941" s="60"/>
      <c r="AH941" s="60"/>
      <c r="AI941" s="60"/>
      <c r="AJ941" s="60"/>
    </row>
    <row r="942" spans="1:36" s="59" customFormat="1" ht="35.25">
      <c r="A942" s="193"/>
      <c r="B942" s="203"/>
      <c r="C942" s="186"/>
      <c r="D942" s="186"/>
      <c r="E942" s="186"/>
      <c r="F942" s="186"/>
      <c r="G942" s="186"/>
      <c r="H942" s="186"/>
      <c r="I942" s="186"/>
      <c r="J942" s="186"/>
      <c r="K942" s="186"/>
      <c r="L942" s="370"/>
      <c r="M942" s="370"/>
      <c r="N942" s="370"/>
      <c r="O942" s="370"/>
      <c r="P942" s="370"/>
      <c r="Q942" s="186"/>
      <c r="R942" s="186"/>
      <c r="S942" s="186"/>
      <c r="T942" s="186"/>
      <c r="U942" s="186"/>
      <c r="V942" s="186"/>
      <c r="W942" s="186"/>
      <c r="X942" s="186"/>
      <c r="Y942" s="186"/>
      <c r="Z942" s="305"/>
      <c r="AA942" s="60"/>
      <c r="AB942" s="60"/>
      <c r="AC942" s="60"/>
      <c r="AD942" s="60"/>
      <c r="AE942" s="60"/>
      <c r="AF942" s="60"/>
      <c r="AG942" s="60"/>
      <c r="AH942" s="60"/>
      <c r="AI942" s="60"/>
      <c r="AJ942" s="60"/>
    </row>
    <row r="943" spans="1:36" s="59" customFormat="1" ht="35.25">
      <c r="A943" s="193"/>
      <c r="B943" s="203"/>
      <c r="C943" s="186"/>
      <c r="D943" s="186"/>
      <c r="E943" s="186"/>
      <c r="F943" s="186"/>
      <c r="G943" s="186"/>
      <c r="H943" s="186"/>
      <c r="I943" s="186"/>
      <c r="J943" s="186"/>
      <c r="K943" s="186"/>
      <c r="L943" s="370"/>
      <c r="M943" s="370"/>
      <c r="N943" s="370"/>
      <c r="O943" s="370"/>
      <c r="P943" s="370"/>
      <c r="Q943" s="186"/>
      <c r="R943" s="186"/>
      <c r="S943" s="186"/>
      <c r="T943" s="186"/>
      <c r="U943" s="186"/>
      <c r="V943" s="186"/>
      <c r="W943" s="186"/>
      <c r="X943" s="186"/>
      <c r="Y943" s="186"/>
      <c r="Z943" s="305"/>
      <c r="AA943" s="60"/>
      <c r="AB943" s="60"/>
      <c r="AC943" s="60"/>
      <c r="AD943" s="60"/>
      <c r="AE943" s="60"/>
      <c r="AF943" s="60"/>
      <c r="AG943" s="60"/>
      <c r="AH943" s="60"/>
      <c r="AI943" s="60"/>
      <c r="AJ943" s="60"/>
    </row>
    <row r="944" spans="1:36" s="59" customFormat="1" ht="35.25">
      <c r="A944" s="193"/>
      <c r="B944" s="203"/>
      <c r="C944" s="186"/>
      <c r="D944" s="186"/>
      <c r="E944" s="186"/>
      <c r="F944" s="186"/>
      <c r="G944" s="186"/>
      <c r="H944" s="186"/>
      <c r="I944" s="186"/>
      <c r="J944" s="186"/>
      <c r="K944" s="186"/>
      <c r="L944" s="370"/>
      <c r="M944" s="370"/>
      <c r="N944" s="370"/>
      <c r="O944" s="370"/>
      <c r="P944" s="370"/>
      <c r="Q944" s="186"/>
      <c r="R944" s="186"/>
      <c r="S944" s="186"/>
      <c r="T944" s="186"/>
      <c r="U944" s="186"/>
      <c r="V944" s="186"/>
      <c r="W944" s="186"/>
      <c r="X944" s="186"/>
      <c r="Y944" s="186"/>
      <c r="Z944" s="305"/>
      <c r="AA944" s="60"/>
      <c r="AB944" s="60"/>
      <c r="AC944" s="60"/>
      <c r="AD944" s="60"/>
      <c r="AE944" s="60"/>
      <c r="AF944" s="60"/>
      <c r="AG944" s="60"/>
      <c r="AH944" s="60"/>
      <c r="AI944" s="60"/>
      <c r="AJ944" s="60"/>
    </row>
    <row r="945" spans="1:36" s="59" customFormat="1" ht="35.25">
      <c r="A945" s="193"/>
      <c r="B945" s="203"/>
      <c r="C945" s="186"/>
      <c r="D945" s="186"/>
      <c r="E945" s="186"/>
      <c r="F945" s="186"/>
      <c r="G945" s="186"/>
      <c r="H945" s="186"/>
      <c r="I945" s="186"/>
      <c r="J945" s="186"/>
      <c r="K945" s="186"/>
      <c r="L945" s="370"/>
      <c r="M945" s="370"/>
      <c r="N945" s="370"/>
      <c r="O945" s="370"/>
      <c r="P945" s="370"/>
      <c r="Q945" s="186"/>
      <c r="R945" s="186"/>
      <c r="S945" s="186"/>
      <c r="T945" s="186"/>
      <c r="U945" s="186"/>
      <c r="V945" s="186"/>
      <c r="W945" s="186"/>
      <c r="X945" s="186"/>
      <c r="Y945" s="186"/>
      <c r="Z945" s="305"/>
      <c r="AA945" s="60"/>
      <c r="AB945" s="60"/>
      <c r="AC945" s="60"/>
      <c r="AD945" s="60"/>
      <c r="AE945" s="60"/>
      <c r="AF945" s="60"/>
      <c r="AG945" s="60"/>
      <c r="AH945" s="60"/>
      <c r="AI945" s="60"/>
      <c r="AJ945" s="60"/>
    </row>
    <row r="946" spans="1:36" s="59" customFormat="1" ht="35.25">
      <c r="A946" s="193"/>
      <c r="B946" s="203"/>
      <c r="C946" s="186"/>
      <c r="D946" s="186"/>
      <c r="E946" s="186"/>
      <c r="F946" s="186"/>
      <c r="G946" s="186"/>
      <c r="H946" s="186"/>
      <c r="I946" s="186"/>
      <c r="J946" s="186"/>
      <c r="K946" s="186"/>
      <c r="L946" s="370"/>
      <c r="M946" s="370"/>
      <c r="N946" s="370"/>
      <c r="O946" s="370"/>
      <c r="P946" s="370"/>
      <c r="Q946" s="186"/>
      <c r="R946" s="186"/>
      <c r="S946" s="186"/>
      <c r="T946" s="186"/>
      <c r="U946" s="186"/>
      <c r="V946" s="186"/>
      <c r="W946" s="186"/>
      <c r="X946" s="186"/>
      <c r="Y946" s="186"/>
      <c r="Z946" s="305"/>
      <c r="AA946" s="60"/>
      <c r="AB946" s="60"/>
      <c r="AC946" s="60"/>
      <c r="AD946" s="60"/>
      <c r="AE946" s="60"/>
      <c r="AF946" s="60"/>
      <c r="AG946" s="60"/>
      <c r="AH946" s="60"/>
      <c r="AI946" s="60"/>
      <c r="AJ946" s="60"/>
    </row>
    <row r="947" spans="1:36" s="59" customFormat="1" ht="35.25">
      <c r="A947" s="193"/>
      <c r="B947" s="203"/>
      <c r="C947" s="186"/>
      <c r="D947" s="186"/>
      <c r="E947" s="186"/>
      <c r="F947" s="186"/>
      <c r="G947" s="186"/>
      <c r="H947" s="186"/>
      <c r="I947" s="186"/>
      <c r="J947" s="186"/>
      <c r="K947" s="186"/>
      <c r="L947" s="370"/>
      <c r="M947" s="370"/>
      <c r="N947" s="370"/>
      <c r="O947" s="370"/>
      <c r="P947" s="370"/>
      <c r="Q947" s="186"/>
      <c r="R947" s="186"/>
      <c r="S947" s="186"/>
      <c r="T947" s="186"/>
      <c r="U947" s="186"/>
      <c r="V947" s="186"/>
      <c r="W947" s="186"/>
      <c r="X947" s="186"/>
      <c r="Y947" s="186"/>
      <c r="Z947" s="305"/>
      <c r="AA947" s="60"/>
      <c r="AB947" s="60"/>
      <c r="AC947" s="60"/>
      <c r="AD947" s="60"/>
      <c r="AE947" s="60"/>
      <c r="AF947" s="60"/>
      <c r="AG947" s="60"/>
      <c r="AH947" s="60"/>
      <c r="AI947" s="60"/>
      <c r="AJ947" s="60"/>
    </row>
    <row r="948" spans="1:36" s="59" customFormat="1" ht="35.25">
      <c r="A948" s="193"/>
      <c r="B948" s="203"/>
      <c r="C948" s="186"/>
      <c r="D948" s="186"/>
      <c r="E948" s="186"/>
      <c r="F948" s="186"/>
      <c r="G948" s="186"/>
      <c r="H948" s="186"/>
      <c r="I948" s="186"/>
      <c r="J948" s="186"/>
      <c r="K948" s="186"/>
      <c r="L948" s="370"/>
      <c r="M948" s="370"/>
      <c r="N948" s="370"/>
      <c r="O948" s="370"/>
      <c r="P948" s="370"/>
      <c r="Q948" s="186"/>
      <c r="R948" s="186"/>
      <c r="S948" s="186"/>
      <c r="T948" s="186"/>
      <c r="U948" s="186"/>
      <c r="V948" s="186"/>
      <c r="W948" s="186"/>
      <c r="X948" s="186"/>
      <c r="Y948" s="186"/>
      <c r="Z948" s="305"/>
      <c r="AA948" s="60"/>
      <c r="AB948" s="60"/>
      <c r="AC948" s="60"/>
      <c r="AD948" s="60"/>
      <c r="AE948" s="60"/>
      <c r="AF948" s="60"/>
      <c r="AG948" s="60"/>
      <c r="AH948" s="60"/>
      <c r="AI948" s="60"/>
      <c r="AJ948" s="60"/>
    </row>
    <row r="949" spans="1:36" s="59" customFormat="1" ht="35.25">
      <c r="A949" s="193"/>
      <c r="B949" s="203"/>
      <c r="C949" s="186"/>
      <c r="D949" s="186"/>
      <c r="E949" s="186"/>
      <c r="F949" s="186"/>
      <c r="G949" s="186"/>
      <c r="H949" s="186"/>
      <c r="I949" s="186"/>
      <c r="J949" s="186"/>
      <c r="K949" s="186"/>
      <c r="L949" s="370"/>
      <c r="M949" s="370"/>
      <c r="N949" s="370"/>
      <c r="O949" s="370"/>
      <c r="P949" s="370"/>
      <c r="Q949" s="186"/>
      <c r="R949" s="186"/>
      <c r="S949" s="186"/>
      <c r="T949" s="186"/>
      <c r="U949" s="186"/>
      <c r="V949" s="186"/>
      <c r="W949" s="186"/>
      <c r="X949" s="186"/>
      <c r="Y949" s="186"/>
      <c r="Z949" s="305"/>
      <c r="AA949" s="60"/>
      <c r="AB949" s="60"/>
      <c r="AC949" s="60"/>
      <c r="AD949" s="60"/>
      <c r="AE949" s="60"/>
      <c r="AF949" s="60"/>
      <c r="AG949" s="60"/>
      <c r="AH949" s="60"/>
      <c r="AI949" s="60"/>
      <c r="AJ949" s="60"/>
    </row>
    <row r="950" spans="1:36" s="59" customFormat="1" ht="35.25">
      <c r="A950" s="193"/>
      <c r="B950" s="203"/>
      <c r="C950" s="186"/>
      <c r="D950" s="186"/>
      <c r="E950" s="186"/>
      <c r="F950" s="186"/>
      <c r="G950" s="186"/>
      <c r="H950" s="186"/>
      <c r="I950" s="186"/>
      <c r="J950" s="186"/>
      <c r="K950" s="186"/>
      <c r="L950" s="370"/>
      <c r="M950" s="370"/>
      <c r="N950" s="370"/>
      <c r="O950" s="370"/>
      <c r="P950" s="370"/>
      <c r="Q950" s="186"/>
      <c r="R950" s="186"/>
      <c r="S950" s="186"/>
      <c r="T950" s="186"/>
      <c r="U950" s="186"/>
      <c r="V950" s="186"/>
      <c r="W950" s="186"/>
      <c r="X950" s="186"/>
      <c r="Y950" s="186"/>
      <c r="Z950" s="305"/>
      <c r="AA950" s="60"/>
      <c r="AB950" s="60"/>
      <c r="AC950" s="60"/>
      <c r="AD950" s="60"/>
      <c r="AE950" s="60"/>
      <c r="AF950" s="60"/>
      <c r="AG950" s="60"/>
      <c r="AH950" s="60"/>
      <c r="AI950" s="60"/>
      <c r="AJ950" s="60"/>
    </row>
    <row r="951" spans="1:36" s="59" customFormat="1" ht="35.25">
      <c r="A951" s="193"/>
      <c r="B951" s="203"/>
      <c r="C951" s="186"/>
      <c r="D951" s="186"/>
      <c r="E951" s="186"/>
      <c r="F951" s="186"/>
      <c r="G951" s="186"/>
      <c r="H951" s="186"/>
      <c r="I951" s="186"/>
      <c r="J951" s="186"/>
      <c r="K951" s="186"/>
      <c r="L951" s="370"/>
      <c r="M951" s="370"/>
      <c r="N951" s="370"/>
      <c r="O951" s="370"/>
      <c r="P951" s="370"/>
      <c r="Q951" s="186"/>
      <c r="R951" s="186"/>
      <c r="S951" s="186"/>
      <c r="T951" s="186"/>
      <c r="U951" s="186"/>
      <c r="V951" s="186"/>
      <c r="W951" s="186"/>
      <c r="X951" s="186"/>
      <c r="Y951" s="186"/>
      <c r="Z951" s="305"/>
      <c r="AA951" s="60"/>
      <c r="AB951" s="60"/>
      <c r="AC951" s="60"/>
      <c r="AD951" s="60"/>
      <c r="AE951" s="60"/>
      <c r="AF951" s="60"/>
      <c r="AG951" s="60"/>
      <c r="AH951" s="60"/>
      <c r="AI951" s="60"/>
      <c r="AJ951" s="60"/>
    </row>
    <row r="952" spans="1:36" s="59" customFormat="1" ht="35.25">
      <c r="A952" s="193"/>
      <c r="B952" s="203"/>
      <c r="C952" s="186"/>
      <c r="D952" s="186"/>
      <c r="E952" s="186"/>
      <c r="F952" s="186"/>
      <c r="G952" s="186"/>
      <c r="H952" s="186"/>
      <c r="I952" s="186"/>
      <c r="J952" s="186"/>
      <c r="K952" s="186"/>
      <c r="L952" s="370"/>
      <c r="M952" s="370"/>
      <c r="N952" s="370"/>
      <c r="O952" s="370"/>
      <c r="P952" s="370"/>
      <c r="Q952" s="186"/>
      <c r="R952" s="186"/>
      <c r="S952" s="186"/>
      <c r="T952" s="186"/>
      <c r="U952" s="186"/>
      <c r="V952" s="186"/>
      <c r="W952" s="186"/>
      <c r="X952" s="186"/>
      <c r="Y952" s="186"/>
      <c r="Z952" s="305"/>
      <c r="AA952" s="60"/>
      <c r="AB952" s="60"/>
      <c r="AC952" s="60"/>
      <c r="AD952" s="60"/>
      <c r="AE952" s="60"/>
      <c r="AF952" s="60"/>
      <c r="AG952" s="60"/>
      <c r="AH952" s="60"/>
      <c r="AI952" s="60"/>
      <c r="AJ952" s="60"/>
    </row>
    <row r="953" spans="1:36" s="59" customFormat="1" ht="35.25">
      <c r="A953" s="193"/>
      <c r="B953" s="203"/>
      <c r="C953" s="186"/>
      <c r="D953" s="186"/>
      <c r="E953" s="186"/>
      <c r="F953" s="186"/>
      <c r="G953" s="186"/>
      <c r="H953" s="186"/>
      <c r="I953" s="186"/>
      <c r="J953" s="186"/>
      <c r="K953" s="186"/>
      <c r="L953" s="370"/>
      <c r="M953" s="370"/>
      <c r="N953" s="370"/>
      <c r="O953" s="370"/>
      <c r="P953" s="370"/>
      <c r="Q953" s="186"/>
      <c r="R953" s="186"/>
      <c r="S953" s="186"/>
      <c r="T953" s="186"/>
      <c r="U953" s="186"/>
      <c r="V953" s="186"/>
      <c r="W953" s="186"/>
      <c r="X953" s="186"/>
      <c r="Y953" s="186"/>
      <c r="Z953" s="305"/>
      <c r="AA953" s="60"/>
      <c r="AB953" s="60"/>
      <c r="AC953" s="60"/>
      <c r="AD953" s="60"/>
      <c r="AE953" s="60"/>
      <c r="AF953" s="60"/>
      <c r="AG953" s="60"/>
      <c r="AH953" s="60"/>
      <c r="AI953" s="60"/>
      <c r="AJ953" s="60"/>
    </row>
    <row r="954" spans="1:36" s="59" customFormat="1" ht="35.25">
      <c r="A954" s="193"/>
      <c r="B954" s="203"/>
      <c r="C954" s="186"/>
      <c r="D954" s="186"/>
      <c r="E954" s="186"/>
      <c r="F954" s="186"/>
      <c r="G954" s="186"/>
      <c r="H954" s="186"/>
      <c r="I954" s="186"/>
      <c r="J954" s="186"/>
      <c r="K954" s="186"/>
      <c r="L954" s="370"/>
      <c r="M954" s="370"/>
      <c r="N954" s="370"/>
      <c r="O954" s="370"/>
      <c r="P954" s="370"/>
      <c r="Q954" s="186"/>
      <c r="R954" s="186"/>
      <c r="S954" s="186"/>
      <c r="T954" s="186"/>
      <c r="U954" s="186"/>
      <c r="V954" s="186"/>
      <c r="W954" s="186"/>
      <c r="X954" s="186"/>
      <c r="Y954" s="186"/>
      <c r="Z954" s="305"/>
      <c r="AA954" s="60"/>
      <c r="AB954" s="60"/>
      <c r="AC954" s="60"/>
      <c r="AD954" s="60"/>
      <c r="AE954" s="60"/>
      <c r="AF954" s="60"/>
      <c r="AG954" s="60"/>
      <c r="AH954" s="60"/>
      <c r="AI954" s="60"/>
      <c r="AJ954" s="60"/>
    </row>
    <row r="955" spans="1:36" s="59" customFormat="1" ht="35.25">
      <c r="A955" s="193"/>
      <c r="B955" s="203"/>
      <c r="C955" s="186"/>
      <c r="D955" s="186"/>
      <c r="E955" s="186"/>
      <c r="F955" s="186"/>
      <c r="G955" s="186"/>
      <c r="H955" s="186"/>
      <c r="I955" s="186"/>
      <c r="J955" s="186"/>
      <c r="K955" s="186"/>
      <c r="L955" s="370"/>
      <c r="M955" s="370"/>
      <c r="N955" s="370"/>
      <c r="O955" s="370"/>
      <c r="P955" s="370"/>
      <c r="Q955" s="186"/>
      <c r="R955" s="186"/>
      <c r="S955" s="186"/>
      <c r="T955" s="186"/>
      <c r="U955" s="186"/>
      <c r="V955" s="186"/>
      <c r="W955" s="186"/>
      <c r="X955" s="186"/>
      <c r="Y955" s="186"/>
      <c r="Z955" s="305"/>
      <c r="AA955" s="60"/>
      <c r="AB955" s="60"/>
      <c r="AC955" s="60"/>
      <c r="AD955" s="60"/>
      <c r="AE955" s="60"/>
      <c r="AF955" s="60"/>
      <c r="AG955" s="60"/>
      <c r="AH955" s="60"/>
      <c r="AI955" s="60"/>
      <c r="AJ955" s="60"/>
    </row>
    <row r="956" spans="1:36" s="59" customFormat="1" ht="35.25">
      <c r="A956" s="193"/>
      <c r="B956" s="203"/>
      <c r="C956" s="186"/>
      <c r="D956" s="186"/>
      <c r="E956" s="186"/>
      <c r="F956" s="186"/>
      <c r="G956" s="186"/>
      <c r="H956" s="186"/>
      <c r="I956" s="186"/>
      <c r="J956" s="186"/>
      <c r="K956" s="186"/>
      <c r="L956" s="370"/>
      <c r="M956" s="370"/>
      <c r="N956" s="370"/>
      <c r="O956" s="370"/>
      <c r="P956" s="370"/>
      <c r="Q956" s="186"/>
      <c r="R956" s="186"/>
      <c r="S956" s="186"/>
      <c r="T956" s="186"/>
      <c r="U956" s="186"/>
      <c r="V956" s="186"/>
      <c r="W956" s="186"/>
      <c r="X956" s="186"/>
      <c r="Y956" s="186"/>
      <c r="Z956" s="305"/>
      <c r="AA956" s="60"/>
      <c r="AB956" s="60"/>
      <c r="AC956" s="60"/>
      <c r="AD956" s="60"/>
      <c r="AE956" s="60"/>
      <c r="AF956" s="60"/>
      <c r="AG956" s="60"/>
      <c r="AH956" s="60"/>
      <c r="AI956" s="60"/>
      <c r="AJ956" s="60"/>
    </row>
    <row r="957" spans="1:36" s="59" customFormat="1" ht="35.25">
      <c r="A957" s="193"/>
      <c r="B957" s="203"/>
      <c r="C957" s="186"/>
      <c r="D957" s="186"/>
      <c r="E957" s="186"/>
      <c r="F957" s="186"/>
      <c r="G957" s="186"/>
      <c r="H957" s="186"/>
      <c r="I957" s="186"/>
      <c r="J957" s="186"/>
      <c r="K957" s="186"/>
      <c r="L957" s="370"/>
      <c r="M957" s="370"/>
      <c r="N957" s="370"/>
      <c r="O957" s="370"/>
      <c r="P957" s="370"/>
      <c r="Q957" s="186"/>
      <c r="R957" s="186"/>
      <c r="S957" s="186"/>
      <c r="T957" s="186"/>
      <c r="U957" s="186"/>
      <c r="V957" s="186"/>
      <c r="W957" s="186"/>
      <c r="X957" s="186"/>
      <c r="Y957" s="186"/>
      <c r="Z957" s="305"/>
      <c r="AA957" s="60"/>
      <c r="AB957" s="60"/>
      <c r="AC957" s="60"/>
      <c r="AD957" s="60"/>
      <c r="AE957" s="60"/>
      <c r="AF957" s="60"/>
      <c r="AG957" s="60"/>
      <c r="AH957" s="60"/>
      <c r="AI957" s="60"/>
      <c r="AJ957" s="60"/>
    </row>
    <row r="958" spans="1:36" s="59" customFormat="1" ht="35.25">
      <c r="A958" s="193"/>
      <c r="B958" s="203"/>
      <c r="C958" s="186"/>
      <c r="D958" s="186"/>
      <c r="E958" s="186"/>
      <c r="F958" s="186"/>
      <c r="G958" s="186"/>
      <c r="H958" s="186"/>
      <c r="I958" s="186"/>
      <c r="J958" s="186"/>
      <c r="K958" s="186"/>
      <c r="L958" s="370"/>
      <c r="M958" s="370"/>
      <c r="N958" s="370"/>
      <c r="O958" s="370"/>
      <c r="P958" s="370"/>
      <c r="Q958" s="186"/>
      <c r="R958" s="186"/>
      <c r="S958" s="186"/>
      <c r="T958" s="186"/>
      <c r="U958" s="186"/>
      <c r="V958" s="186"/>
      <c r="W958" s="186"/>
      <c r="X958" s="186"/>
      <c r="Y958" s="186"/>
      <c r="Z958" s="305"/>
      <c r="AA958" s="60"/>
      <c r="AB958" s="60"/>
      <c r="AC958" s="60"/>
      <c r="AD958" s="60"/>
      <c r="AE958" s="60"/>
      <c r="AF958" s="60"/>
      <c r="AG958" s="60"/>
      <c r="AH958" s="60"/>
      <c r="AI958" s="60"/>
      <c r="AJ958" s="60"/>
    </row>
    <row r="959" spans="1:36" s="59" customFormat="1" ht="35.25">
      <c r="A959" s="193"/>
      <c r="B959" s="203"/>
      <c r="C959" s="186"/>
      <c r="D959" s="186"/>
      <c r="E959" s="186"/>
      <c r="F959" s="186"/>
      <c r="G959" s="186"/>
      <c r="H959" s="186"/>
      <c r="I959" s="186"/>
      <c r="J959" s="186"/>
      <c r="K959" s="186"/>
      <c r="L959" s="370"/>
      <c r="M959" s="370"/>
      <c r="N959" s="370"/>
      <c r="O959" s="370"/>
      <c r="P959" s="370"/>
      <c r="Q959" s="186"/>
      <c r="R959" s="186"/>
      <c r="S959" s="186"/>
      <c r="T959" s="186"/>
      <c r="U959" s="186"/>
      <c r="V959" s="186"/>
      <c r="W959" s="186"/>
      <c r="X959" s="186"/>
      <c r="Y959" s="186"/>
      <c r="Z959" s="305"/>
      <c r="AA959" s="60"/>
      <c r="AB959" s="60"/>
      <c r="AC959" s="60"/>
      <c r="AD959" s="60"/>
      <c r="AE959" s="60"/>
      <c r="AF959" s="60"/>
      <c r="AG959" s="60"/>
      <c r="AH959" s="60"/>
      <c r="AI959" s="60"/>
      <c r="AJ959" s="60"/>
    </row>
    <row r="960" spans="1:36" s="59" customFormat="1" ht="35.25">
      <c r="A960" s="193"/>
      <c r="B960" s="203"/>
      <c r="C960" s="186"/>
      <c r="D960" s="186"/>
      <c r="E960" s="186"/>
      <c r="F960" s="186"/>
      <c r="G960" s="186"/>
      <c r="H960" s="186"/>
      <c r="I960" s="186"/>
      <c r="J960" s="186"/>
      <c r="K960" s="186"/>
      <c r="L960" s="370"/>
      <c r="M960" s="370"/>
      <c r="N960" s="370"/>
      <c r="O960" s="370"/>
      <c r="P960" s="370"/>
      <c r="Q960" s="186"/>
      <c r="R960" s="186"/>
      <c r="S960" s="186"/>
      <c r="T960" s="186"/>
      <c r="U960" s="186"/>
      <c r="V960" s="186"/>
      <c r="W960" s="186"/>
      <c r="X960" s="186"/>
      <c r="Y960" s="186"/>
      <c r="Z960" s="305"/>
      <c r="AA960" s="60"/>
      <c r="AB960" s="60"/>
      <c r="AC960" s="60"/>
      <c r="AD960" s="60"/>
      <c r="AE960" s="60"/>
      <c r="AF960" s="60"/>
      <c r="AG960" s="60"/>
      <c r="AH960" s="60"/>
      <c r="AI960" s="60"/>
      <c r="AJ960" s="60"/>
    </row>
    <row r="961" spans="1:36" s="59" customFormat="1" ht="35.25">
      <c r="A961" s="193"/>
      <c r="B961" s="203"/>
      <c r="C961" s="186"/>
      <c r="D961" s="186"/>
      <c r="E961" s="186"/>
      <c r="F961" s="186"/>
      <c r="G961" s="186"/>
      <c r="H961" s="186"/>
      <c r="I961" s="186"/>
      <c r="J961" s="186"/>
      <c r="K961" s="186"/>
      <c r="L961" s="370"/>
      <c r="M961" s="370"/>
      <c r="N961" s="370"/>
      <c r="O961" s="370"/>
      <c r="P961" s="370"/>
      <c r="Q961" s="186"/>
      <c r="R961" s="186"/>
      <c r="S961" s="186"/>
      <c r="T961" s="186"/>
      <c r="U961" s="186"/>
      <c r="V961" s="186"/>
      <c r="W961" s="186"/>
      <c r="X961" s="186"/>
      <c r="Y961" s="186"/>
      <c r="Z961" s="305"/>
      <c r="AA961" s="60"/>
      <c r="AB961" s="60"/>
      <c r="AC961" s="60"/>
      <c r="AD961" s="60"/>
      <c r="AE961" s="60"/>
      <c r="AF961" s="60"/>
      <c r="AG961" s="60"/>
      <c r="AH961" s="60"/>
      <c r="AI961" s="60"/>
      <c r="AJ961" s="60"/>
    </row>
    <row r="962" spans="1:36" s="59" customFormat="1" ht="35.25">
      <c r="A962" s="193"/>
      <c r="B962" s="203"/>
      <c r="C962" s="186"/>
      <c r="D962" s="186"/>
      <c r="E962" s="186"/>
      <c r="F962" s="186"/>
      <c r="G962" s="186"/>
      <c r="H962" s="186"/>
      <c r="I962" s="186"/>
      <c r="J962" s="186"/>
      <c r="K962" s="186"/>
      <c r="L962" s="370"/>
      <c r="M962" s="370"/>
      <c r="N962" s="370"/>
      <c r="O962" s="370"/>
      <c r="P962" s="370"/>
      <c r="Q962" s="186"/>
      <c r="R962" s="186"/>
      <c r="S962" s="186"/>
      <c r="T962" s="186"/>
      <c r="U962" s="186"/>
      <c r="V962" s="186"/>
      <c r="W962" s="186"/>
      <c r="X962" s="186"/>
      <c r="Y962" s="186"/>
      <c r="Z962" s="305"/>
      <c r="AA962" s="60"/>
      <c r="AB962" s="60"/>
      <c r="AC962" s="60"/>
      <c r="AD962" s="60"/>
      <c r="AE962" s="60"/>
      <c r="AF962" s="60"/>
      <c r="AG962" s="60"/>
      <c r="AH962" s="60"/>
      <c r="AI962" s="60"/>
      <c r="AJ962" s="60"/>
    </row>
    <row r="963" spans="1:36" s="59" customFormat="1" ht="35.25">
      <c r="A963" s="193"/>
      <c r="B963" s="203"/>
      <c r="C963" s="186"/>
      <c r="D963" s="186"/>
      <c r="E963" s="186"/>
      <c r="F963" s="186"/>
      <c r="G963" s="186"/>
      <c r="H963" s="186"/>
      <c r="I963" s="186"/>
      <c r="J963" s="186"/>
      <c r="K963" s="186"/>
      <c r="L963" s="370"/>
      <c r="M963" s="370"/>
      <c r="N963" s="370"/>
      <c r="O963" s="370"/>
      <c r="P963" s="370"/>
      <c r="Q963" s="186"/>
      <c r="R963" s="186"/>
      <c r="S963" s="186"/>
      <c r="T963" s="186"/>
      <c r="U963" s="186"/>
      <c r="V963" s="186"/>
      <c r="W963" s="186"/>
      <c r="X963" s="186"/>
      <c r="Y963" s="186"/>
      <c r="Z963" s="305"/>
      <c r="AA963" s="60"/>
      <c r="AB963" s="60"/>
      <c r="AC963" s="60"/>
      <c r="AD963" s="60"/>
      <c r="AE963" s="60"/>
      <c r="AF963" s="60"/>
      <c r="AG963" s="60"/>
      <c r="AH963" s="60"/>
      <c r="AI963" s="60"/>
      <c r="AJ963" s="60"/>
    </row>
    <row r="964" spans="1:36" s="59" customFormat="1" ht="35.25">
      <c r="A964" s="193"/>
      <c r="B964" s="203"/>
      <c r="C964" s="186"/>
      <c r="D964" s="186"/>
      <c r="E964" s="186"/>
      <c r="F964" s="186"/>
      <c r="G964" s="186"/>
      <c r="H964" s="186"/>
      <c r="I964" s="186"/>
      <c r="J964" s="186"/>
      <c r="K964" s="186"/>
      <c r="L964" s="370"/>
      <c r="M964" s="370"/>
      <c r="N964" s="370"/>
      <c r="O964" s="370"/>
      <c r="P964" s="370"/>
      <c r="Q964" s="186"/>
      <c r="R964" s="186"/>
      <c r="S964" s="186"/>
      <c r="T964" s="186"/>
      <c r="U964" s="186"/>
      <c r="V964" s="186"/>
      <c r="W964" s="186"/>
      <c r="X964" s="186"/>
      <c r="Y964" s="186"/>
      <c r="Z964" s="305"/>
      <c r="AA964" s="60"/>
      <c r="AB964" s="60"/>
      <c r="AC964" s="60"/>
      <c r="AD964" s="60"/>
      <c r="AE964" s="60"/>
      <c r="AF964" s="60"/>
      <c r="AG964" s="60"/>
      <c r="AH964" s="60"/>
      <c r="AI964" s="60"/>
      <c r="AJ964" s="60"/>
    </row>
    <row r="965" spans="1:36" s="59" customFormat="1" ht="35.25">
      <c r="A965" s="193"/>
      <c r="B965" s="203"/>
      <c r="C965" s="186"/>
      <c r="D965" s="186"/>
      <c r="E965" s="186"/>
      <c r="F965" s="186"/>
      <c r="G965" s="186"/>
      <c r="H965" s="186"/>
      <c r="I965" s="186"/>
      <c r="J965" s="186"/>
      <c r="K965" s="186"/>
      <c r="L965" s="370"/>
      <c r="M965" s="370"/>
      <c r="N965" s="370"/>
      <c r="O965" s="370"/>
      <c r="P965" s="370"/>
      <c r="Q965" s="186"/>
      <c r="R965" s="186"/>
      <c r="S965" s="186"/>
      <c r="T965" s="186"/>
      <c r="U965" s="186"/>
      <c r="V965" s="186"/>
      <c r="W965" s="186"/>
      <c r="X965" s="186"/>
      <c r="Y965" s="186"/>
      <c r="Z965" s="305"/>
      <c r="AA965" s="60"/>
      <c r="AB965" s="60"/>
      <c r="AC965" s="60"/>
      <c r="AD965" s="60"/>
      <c r="AE965" s="60"/>
      <c r="AF965" s="60"/>
      <c r="AG965" s="60"/>
      <c r="AH965" s="60"/>
      <c r="AI965" s="60"/>
      <c r="AJ965" s="60"/>
    </row>
    <row r="966" spans="1:36" s="59" customFormat="1" ht="35.25">
      <c r="A966" s="193"/>
      <c r="B966" s="203"/>
      <c r="C966" s="186"/>
      <c r="D966" s="186"/>
      <c r="E966" s="186"/>
      <c r="F966" s="186"/>
      <c r="G966" s="186"/>
      <c r="H966" s="186"/>
      <c r="I966" s="186"/>
      <c r="J966" s="186"/>
      <c r="K966" s="186"/>
      <c r="L966" s="370"/>
      <c r="M966" s="370"/>
      <c r="N966" s="370"/>
      <c r="O966" s="370"/>
      <c r="P966" s="370"/>
      <c r="Q966" s="186"/>
      <c r="R966" s="186"/>
      <c r="S966" s="186"/>
      <c r="T966" s="186"/>
      <c r="U966" s="186"/>
      <c r="V966" s="186"/>
      <c r="W966" s="186"/>
      <c r="X966" s="186"/>
      <c r="Y966" s="186"/>
      <c r="Z966" s="305"/>
      <c r="AA966" s="60"/>
      <c r="AB966" s="60"/>
      <c r="AC966" s="60"/>
      <c r="AD966" s="60"/>
      <c r="AE966" s="60"/>
      <c r="AF966" s="60"/>
      <c r="AG966" s="60"/>
      <c r="AH966" s="60"/>
      <c r="AI966" s="60"/>
      <c r="AJ966" s="60"/>
    </row>
    <row r="967" spans="1:36" s="59" customFormat="1" ht="35.25">
      <c r="A967" s="193"/>
      <c r="B967" s="203"/>
      <c r="C967" s="186"/>
      <c r="D967" s="186"/>
      <c r="E967" s="186"/>
      <c r="F967" s="186"/>
      <c r="G967" s="186"/>
      <c r="H967" s="186"/>
      <c r="I967" s="186"/>
      <c r="J967" s="186"/>
      <c r="K967" s="186"/>
      <c r="L967" s="370"/>
      <c r="M967" s="370"/>
      <c r="N967" s="370"/>
      <c r="O967" s="370"/>
      <c r="P967" s="370"/>
      <c r="Q967" s="186"/>
      <c r="R967" s="186"/>
      <c r="S967" s="186"/>
      <c r="T967" s="186"/>
      <c r="U967" s="186"/>
      <c r="V967" s="186"/>
      <c r="W967" s="186"/>
      <c r="X967" s="186"/>
      <c r="Y967" s="186"/>
      <c r="Z967" s="305"/>
      <c r="AA967" s="60"/>
      <c r="AB967" s="60"/>
      <c r="AC967" s="60"/>
      <c r="AD967" s="60"/>
      <c r="AE967" s="60"/>
      <c r="AF967" s="60"/>
      <c r="AG967" s="60"/>
      <c r="AH967" s="60"/>
      <c r="AI967" s="60"/>
      <c r="AJ967" s="60"/>
    </row>
    <row r="968" spans="1:36" s="59" customFormat="1" ht="35.25">
      <c r="A968" s="193"/>
      <c r="B968" s="203"/>
      <c r="C968" s="186"/>
      <c r="D968" s="186"/>
      <c r="E968" s="186"/>
      <c r="F968" s="186"/>
      <c r="G968" s="186"/>
      <c r="H968" s="186"/>
      <c r="I968" s="186"/>
      <c r="J968" s="186"/>
      <c r="K968" s="186"/>
      <c r="L968" s="370"/>
      <c r="M968" s="370"/>
      <c r="N968" s="370"/>
      <c r="O968" s="370"/>
      <c r="P968" s="370"/>
      <c r="Q968" s="186"/>
      <c r="R968" s="186"/>
      <c r="S968" s="186"/>
      <c r="T968" s="186"/>
      <c r="U968" s="186"/>
      <c r="V968" s="186"/>
      <c r="W968" s="186"/>
      <c r="X968" s="186"/>
      <c r="Y968" s="186"/>
      <c r="Z968" s="305"/>
      <c r="AA968" s="60"/>
      <c r="AB968" s="60"/>
      <c r="AC968" s="60"/>
      <c r="AD968" s="60"/>
      <c r="AE968" s="60"/>
      <c r="AF968" s="60"/>
      <c r="AG968" s="60"/>
      <c r="AH968" s="60"/>
      <c r="AI968" s="60"/>
      <c r="AJ968" s="60"/>
    </row>
    <row r="969" spans="1:36" s="59" customFormat="1" ht="35.25">
      <c r="A969" s="193"/>
      <c r="B969" s="203"/>
      <c r="C969" s="186"/>
      <c r="D969" s="186"/>
      <c r="E969" s="186"/>
      <c r="F969" s="186"/>
      <c r="G969" s="186"/>
      <c r="H969" s="186"/>
      <c r="I969" s="186"/>
      <c r="J969" s="186"/>
      <c r="K969" s="186"/>
      <c r="L969" s="370"/>
      <c r="M969" s="370"/>
      <c r="N969" s="370"/>
      <c r="O969" s="370"/>
      <c r="P969" s="370"/>
      <c r="Q969" s="186"/>
      <c r="R969" s="186"/>
      <c r="S969" s="186"/>
      <c r="T969" s="186"/>
      <c r="U969" s="186"/>
      <c r="V969" s="186"/>
      <c r="W969" s="186"/>
      <c r="X969" s="186"/>
      <c r="Y969" s="186"/>
      <c r="Z969" s="305"/>
      <c r="AA969" s="60"/>
      <c r="AB969" s="60"/>
      <c r="AC969" s="60"/>
      <c r="AD969" s="60"/>
      <c r="AE969" s="60"/>
      <c r="AF969" s="60"/>
      <c r="AG969" s="60"/>
      <c r="AH969" s="60"/>
      <c r="AI969" s="60"/>
      <c r="AJ969" s="60"/>
    </row>
    <row r="970" spans="1:36" s="59" customFormat="1" ht="35.25">
      <c r="A970" s="193"/>
      <c r="B970" s="203"/>
      <c r="C970" s="186"/>
      <c r="D970" s="186"/>
      <c r="E970" s="186"/>
      <c r="F970" s="186"/>
      <c r="G970" s="186"/>
      <c r="H970" s="186"/>
      <c r="I970" s="186"/>
      <c r="J970" s="186"/>
      <c r="K970" s="186"/>
      <c r="L970" s="370"/>
      <c r="M970" s="370"/>
      <c r="N970" s="370"/>
      <c r="O970" s="370"/>
      <c r="P970" s="370"/>
      <c r="Q970" s="186"/>
      <c r="R970" s="186"/>
      <c r="S970" s="186"/>
      <c r="T970" s="186"/>
      <c r="U970" s="186"/>
      <c r="V970" s="186"/>
      <c r="W970" s="186"/>
      <c r="X970" s="186"/>
      <c r="Y970" s="186"/>
      <c r="Z970" s="305"/>
      <c r="AA970" s="60"/>
      <c r="AB970" s="60"/>
      <c r="AC970" s="60"/>
      <c r="AD970" s="60"/>
      <c r="AE970" s="60"/>
      <c r="AF970" s="60"/>
      <c r="AG970" s="60"/>
      <c r="AH970" s="60"/>
      <c r="AI970" s="60"/>
      <c r="AJ970" s="60"/>
    </row>
    <row r="971" spans="1:36" s="59" customFormat="1" ht="35.25">
      <c r="A971" s="193"/>
      <c r="B971" s="203"/>
      <c r="C971" s="186"/>
      <c r="D971" s="186"/>
      <c r="E971" s="186"/>
      <c r="F971" s="186"/>
      <c r="G971" s="186"/>
      <c r="H971" s="186"/>
      <c r="I971" s="186"/>
      <c r="J971" s="186"/>
      <c r="K971" s="186"/>
      <c r="L971" s="370"/>
      <c r="M971" s="370"/>
      <c r="N971" s="370"/>
      <c r="O971" s="370"/>
      <c r="P971" s="370"/>
      <c r="Q971" s="186"/>
      <c r="R971" s="186"/>
      <c r="S971" s="186"/>
      <c r="T971" s="186"/>
      <c r="U971" s="186"/>
      <c r="V971" s="186"/>
      <c r="W971" s="186"/>
      <c r="X971" s="186"/>
      <c r="Y971" s="186"/>
      <c r="Z971" s="305"/>
      <c r="AA971" s="60"/>
      <c r="AB971" s="60"/>
      <c r="AC971" s="60"/>
      <c r="AD971" s="60"/>
      <c r="AE971" s="60"/>
      <c r="AF971" s="60"/>
      <c r="AG971" s="60"/>
      <c r="AH971" s="60"/>
      <c r="AI971" s="60"/>
      <c r="AJ971" s="60"/>
    </row>
    <row r="972" spans="1:36" s="59" customFormat="1" ht="35.25">
      <c r="A972" s="193"/>
      <c r="B972" s="203"/>
      <c r="C972" s="186"/>
      <c r="D972" s="186"/>
      <c r="E972" s="186"/>
      <c r="F972" s="186"/>
      <c r="G972" s="186"/>
      <c r="H972" s="186"/>
      <c r="I972" s="186"/>
      <c r="J972" s="186"/>
      <c r="K972" s="186"/>
      <c r="L972" s="370"/>
      <c r="M972" s="370"/>
      <c r="N972" s="370"/>
      <c r="O972" s="370"/>
      <c r="P972" s="370"/>
      <c r="Q972" s="186"/>
      <c r="R972" s="186"/>
      <c r="S972" s="186"/>
      <c r="T972" s="186"/>
      <c r="U972" s="186"/>
      <c r="V972" s="186"/>
      <c r="W972" s="186"/>
      <c r="X972" s="186"/>
      <c r="Y972" s="186"/>
      <c r="Z972" s="305"/>
      <c r="AA972" s="60"/>
      <c r="AB972" s="60"/>
      <c r="AC972" s="60"/>
      <c r="AD972" s="60"/>
      <c r="AE972" s="60"/>
      <c r="AF972" s="60"/>
      <c r="AG972" s="60"/>
      <c r="AH972" s="60"/>
      <c r="AI972" s="60"/>
      <c r="AJ972" s="60"/>
    </row>
    <row r="973" spans="1:36" s="59" customFormat="1" ht="35.25">
      <c r="A973" s="193"/>
      <c r="B973" s="203"/>
      <c r="C973" s="186"/>
      <c r="D973" s="186"/>
      <c r="E973" s="186"/>
      <c r="F973" s="186"/>
      <c r="G973" s="186"/>
      <c r="H973" s="186"/>
      <c r="I973" s="186"/>
      <c r="J973" s="186"/>
      <c r="K973" s="186"/>
      <c r="L973" s="370"/>
      <c r="M973" s="370"/>
      <c r="N973" s="370"/>
      <c r="O973" s="370"/>
      <c r="P973" s="370"/>
      <c r="Q973" s="186"/>
      <c r="R973" s="186"/>
      <c r="S973" s="186"/>
      <c r="T973" s="186"/>
      <c r="U973" s="186"/>
      <c r="V973" s="186"/>
      <c r="W973" s="186"/>
      <c r="X973" s="186"/>
      <c r="Y973" s="186"/>
      <c r="Z973" s="305"/>
      <c r="AA973" s="60"/>
      <c r="AB973" s="60"/>
      <c r="AC973" s="60"/>
      <c r="AD973" s="60"/>
      <c r="AE973" s="60"/>
      <c r="AF973" s="60"/>
      <c r="AG973" s="60"/>
      <c r="AH973" s="60"/>
      <c r="AI973" s="60"/>
      <c r="AJ973" s="60"/>
    </row>
    <row r="974" spans="1:36" s="59" customFormat="1" ht="35.25">
      <c r="A974" s="193"/>
      <c r="B974" s="203"/>
      <c r="C974" s="186"/>
      <c r="D974" s="186"/>
      <c r="E974" s="186"/>
      <c r="F974" s="186"/>
      <c r="G974" s="186"/>
      <c r="H974" s="186"/>
      <c r="I974" s="186"/>
      <c r="J974" s="186"/>
      <c r="K974" s="186"/>
      <c r="L974" s="370"/>
      <c r="M974" s="370"/>
      <c r="N974" s="370"/>
      <c r="O974" s="370"/>
      <c r="P974" s="370"/>
      <c r="Q974" s="186"/>
      <c r="R974" s="186"/>
      <c r="S974" s="186"/>
      <c r="T974" s="186"/>
      <c r="U974" s="186"/>
      <c r="V974" s="186"/>
      <c r="W974" s="186"/>
      <c r="X974" s="186"/>
      <c r="Y974" s="186"/>
      <c r="Z974" s="305"/>
      <c r="AA974" s="60"/>
      <c r="AB974" s="60"/>
      <c r="AC974" s="60"/>
      <c r="AD974" s="60"/>
      <c r="AE974" s="60"/>
      <c r="AF974" s="60"/>
      <c r="AG974" s="60"/>
      <c r="AH974" s="60"/>
      <c r="AI974" s="60"/>
      <c r="AJ974" s="60"/>
    </row>
    <row r="975" spans="1:36" s="59" customFormat="1" ht="35.25">
      <c r="A975" s="193"/>
      <c r="B975" s="203"/>
      <c r="C975" s="186"/>
      <c r="D975" s="186"/>
      <c r="E975" s="186"/>
      <c r="F975" s="186"/>
      <c r="G975" s="186"/>
      <c r="H975" s="186"/>
      <c r="I975" s="186"/>
      <c r="J975" s="186"/>
      <c r="K975" s="186"/>
      <c r="L975" s="370"/>
      <c r="M975" s="370"/>
      <c r="N975" s="370"/>
      <c r="O975" s="370"/>
      <c r="P975" s="370"/>
      <c r="Q975" s="186"/>
      <c r="R975" s="186"/>
      <c r="S975" s="186"/>
      <c r="T975" s="186"/>
      <c r="U975" s="186"/>
      <c r="V975" s="186"/>
      <c r="W975" s="186"/>
      <c r="X975" s="186"/>
      <c r="Y975" s="186"/>
      <c r="Z975" s="305"/>
      <c r="AA975" s="60"/>
      <c r="AB975" s="60"/>
      <c r="AC975" s="60"/>
      <c r="AD975" s="60"/>
      <c r="AE975" s="60"/>
      <c r="AF975" s="60"/>
      <c r="AG975" s="60"/>
      <c r="AH975" s="60"/>
      <c r="AI975" s="60"/>
      <c r="AJ975" s="60"/>
    </row>
    <row r="976" spans="1:36" s="59" customFormat="1" ht="35.25">
      <c r="A976" s="193"/>
      <c r="B976" s="203"/>
      <c r="C976" s="186"/>
      <c r="D976" s="186"/>
      <c r="E976" s="186"/>
      <c r="F976" s="186"/>
      <c r="G976" s="186"/>
      <c r="H976" s="186"/>
      <c r="I976" s="186"/>
      <c r="J976" s="186"/>
      <c r="K976" s="186"/>
      <c r="L976" s="370"/>
      <c r="M976" s="370"/>
      <c r="N976" s="370"/>
      <c r="O976" s="370"/>
      <c r="P976" s="370"/>
      <c r="Q976" s="186"/>
      <c r="R976" s="186"/>
      <c r="S976" s="186"/>
      <c r="T976" s="186"/>
      <c r="U976" s="186"/>
      <c r="V976" s="186"/>
      <c r="W976" s="186"/>
      <c r="X976" s="186"/>
      <c r="Y976" s="186"/>
      <c r="Z976" s="305"/>
      <c r="AA976" s="60"/>
      <c r="AB976" s="60"/>
      <c r="AC976" s="60"/>
      <c r="AD976" s="60"/>
      <c r="AE976" s="60"/>
      <c r="AF976" s="60"/>
      <c r="AG976" s="60"/>
      <c r="AH976" s="60"/>
      <c r="AI976" s="60"/>
      <c r="AJ976" s="60"/>
    </row>
    <row r="977" spans="1:36" s="59" customFormat="1" ht="35.25">
      <c r="A977" s="193"/>
      <c r="B977" s="203"/>
      <c r="C977" s="186"/>
      <c r="D977" s="186"/>
      <c r="E977" s="186"/>
      <c r="F977" s="186"/>
      <c r="G977" s="186"/>
      <c r="H977" s="186"/>
      <c r="I977" s="186"/>
      <c r="J977" s="186"/>
      <c r="K977" s="186"/>
      <c r="L977" s="370"/>
      <c r="M977" s="370"/>
      <c r="N977" s="370"/>
      <c r="O977" s="370"/>
      <c r="P977" s="370"/>
      <c r="Q977" s="186"/>
      <c r="R977" s="186"/>
      <c r="S977" s="186"/>
      <c r="T977" s="186"/>
      <c r="U977" s="186"/>
      <c r="V977" s="186"/>
      <c r="W977" s="186"/>
      <c r="X977" s="186"/>
      <c r="Y977" s="186"/>
      <c r="Z977" s="305"/>
      <c r="AA977" s="60"/>
      <c r="AB977" s="60"/>
      <c r="AC977" s="60"/>
      <c r="AD977" s="60"/>
      <c r="AE977" s="60"/>
      <c r="AF977" s="60"/>
      <c r="AG977" s="60"/>
      <c r="AH977" s="60"/>
      <c r="AI977" s="60"/>
      <c r="AJ977" s="60"/>
    </row>
    <row r="978" spans="1:36" s="59" customFormat="1" ht="35.25">
      <c r="A978" s="193"/>
      <c r="B978" s="203"/>
      <c r="C978" s="186"/>
      <c r="D978" s="186"/>
      <c r="E978" s="186"/>
      <c r="F978" s="186"/>
      <c r="G978" s="186"/>
      <c r="H978" s="186"/>
      <c r="I978" s="186"/>
      <c r="J978" s="186"/>
      <c r="K978" s="186"/>
      <c r="L978" s="370"/>
      <c r="M978" s="370"/>
      <c r="N978" s="370"/>
      <c r="O978" s="370"/>
      <c r="P978" s="370"/>
      <c r="Q978" s="186"/>
      <c r="R978" s="186"/>
      <c r="S978" s="186"/>
      <c r="T978" s="186"/>
      <c r="U978" s="186"/>
      <c r="V978" s="186"/>
      <c r="W978" s="186"/>
      <c r="X978" s="186"/>
      <c r="Y978" s="186"/>
      <c r="Z978" s="305"/>
      <c r="AA978" s="60"/>
      <c r="AB978" s="60"/>
      <c r="AC978" s="60"/>
      <c r="AD978" s="60"/>
      <c r="AE978" s="60"/>
      <c r="AF978" s="60"/>
      <c r="AG978" s="60"/>
      <c r="AH978" s="60"/>
      <c r="AI978" s="60"/>
      <c r="AJ978" s="60"/>
    </row>
    <row r="979" spans="1:36" s="59" customFormat="1" ht="35.25">
      <c r="A979" s="193"/>
      <c r="B979" s="203"/>
      <c r="C979" s="186"/>
      <c r="D979" s="186"/>
      <c r="E979" s="186"/>
      <c r="F979" s="186"/>
      <c r="G979" s="186"/>
      <c r="H979" s="186"/>
      <c r="I979" s="186"/>
      <c r="J979" s="186"/>
      <c r="K979" s="186"/>
      <c r="L979" s="370"/>
      <c r="M979" s="370"/>
      <c r="N979" s="370"/>
      <c r="O979" s="370"/>
      <c r="P979" s="370"/>
      <c r="Q979" s="186"/>
      <c r="R979" s="186"/>
      <c r="S979" s="186"/>
      <c r="T979" s="186"/>
      <c r="U979" s="186"/>
      <c r="V979" s="186"/>
      <c r="W979" s="186"/>
      <c r="X979" s="186"/>
      <c r="Y979" s="186"/>
      <c r="Z979" s="305"/>
      <c r="AA979" s="60"/>
      <c r="AB979" s="60"/>
      <c r="AC979" s="60"/>
      <c r="AD979" s="60"/>
      <c r="AE979" s="60"/>
      <c r="AF979" s="60"/>
      <c r="AG979" s="60"/>
      <c r="AH979" s="60"/>
      <c r="AI979" s="60"/>
      <c r="AJ979" s="60"/>
    </row>
    <row r="980" spans="1:36" s="59" customFormat="1" ht="35.25">
      <c r="A980" s="193"/>
      <c r="B980" s="203"/>
      <c r="C980" s="186"/>
      <c r="D980" s="186"/>
      <c r="E980" s="186"/>
      <c r="F980" s="186"/>
      <c r="G980" s="186"/>
      <c r="H980" s="186"/>
      <c r="I980" s="186"/>
      <c r="J980" s="186"/>
      <c r="K980" s="186"/>
      <c r="L980" s="370"/>
      <c r="M980" s="370"/>
      <c r="N980" s="370"/>
      <c r="O980" s="370"/>
      <c r="P980" s="370"/>
      <c r="Q980" s="186"/>
      <c r="R980" s="186"/>
      <c r="S980" s="186"/>
      <c r="T980" s="186"/>
      <c r="U980" s="186"/>
      <c r="V980" s="186"/>
      <c r="W980" s="186"/>
      <c r="X980" s="186"/>
      <c r="Y980" s="186"/>
      <c r="Z980" s="305"/>
      <c r="AA980" s="60"/>
      <c r="AB980" s="60"/>
      <c r="AC980" s="60"/>
      <c r="AD980" s="60"/>
      <c r="AE980" s="60"/>
      <c r="AF980" s="60"/>
      <c r="AG980" s="60"/>
      <c r="AH980" s="60"/>
      <c r="AI980" s="60"/>
      <c r="AJ980" s="60"/>
    </row>
    <row r="981" spans="1:36" s="59" customFormat="1" ht="35.25">
      <c r="A981" s="193"/>
      <c r="B981" s="203"/>
      <c r="C981" s="186"/>
      <c r="D981" s="186"/>
      <c r="E981" s="186"/>
      <c r="F981" s="186"/>
      <c r="G981" s="186"/>
      <c r="H981" s="186"/>
      <c r="I981" s="186"/>
      <c r="J981" s="186"/>
      <c r="K981" s="186"/>
      <c r="L981" s="370"/>
      <c r="M981" s="370"/>
      <c r="N981" s="370"/>
      <c r="O981" s="370"/>
      <c r="P981" s="370"/>
      <c r="Q981" s="186"/>
      <c r="R981" s="186"/>
      <c r="S981" s="186"/>
      <c r="T981" s="186"/>
      <c r="U981" s="186"/>
      <c r="V981" s="186"/>
      <c r="W981" s="186"/>
      <c r="X981" s="186"/>
      <c r="Y981" s="186"/>
      <c r="Z981" s="305"/>
      <c r="AA981" s="60"/>
      <c r="AB981" s="60"/>
      <c r="AC981" s="60"/>
      <c r="AD981" s="60"/>
      <c r="AE981" s="60"/>
      <c r="AF981" s="60"/>
      <c r="AG981" s="60"/>
      <c r="AH981" s="60"/>
      <c r="AI981" s="60"/>
      <c r="AJ981" s="60"/>
    </row>
    <row r="982" spans="1:36" s="59" customFormat="1" ht="35.25">
      <c r="A982" s="193"/>
      <c r="B982" s="203"/>
      <c r="C982" s="186"/>
      <c r="D982" s="186"/>
      <c r="E982" s="186"/>
      <c r="F982" s="186"/>
      <c r="G982" s="186"/>
      <c r="H982" s="186"/>
      <c r="I982" s="186"/>
      <c r="J982" s="186"/>
      <c r="K982" s="186"/>
      <c r="L982" s="370"/>
      <c r="M982" s="370"/>
      <c r="N982" s="370"/>
      <c r="O982" s="370"/>
      <c r="P982" s="370"/>
      <c r="Q982" s="186"/>
      <c r="R982" s="186"/>
      <c r="S982" s="186"/>
      <c r="T982" s="186"/>
      <c r="U982" s="186"/>
      <c r="V982" s="186"/>
      <c r="W982" s="186"/>
      <c r="X982" s="186"/>
      <c r="Y982" s="186"/>
      <c r="Z982" s="305"/>
      <c r="AA982" s="60"/>
      <c r="AB982" s="60"/>
      <c r="AC982" s="60"/>
      <c r="AD982" s="60"/>
      <c r="AE982" s="60"/>
      <c r="AF982" s="60"/>
      <c r="AG982" s="60"/>
      <c r="AH982" s="60"/>
      <c r="AI982" s="60"/>
      <c r="AJ982" s="60"/>
    </row>
    <row r="983" spans="1:36" s="59" customFormat="1" ht="35.25">
      <c r="A983" s="193"/>
      <c r="B983" s="203"/>
      <c r="C983" s="186"/>
      <c r="D983" s="186"/>
      <c r="E983" s="186"/>
      <c r="F983" s="186"/>
      <c r="G983" s="186"/>
      <c r="H983" s="186"/>
      <c r="I983" s="186"/>
      <c r="J983" s="186"/>
      <c r="K983" s="186"/>
      <c r="L983" s="370"/>
      <c r="M983" s="370"/>
      <c r="N983" s="370"/>
      <c r="O983" s="370"/>
      <c r="P983" s="370"/>
      <c r="Q983" s="186"/>
      <c r="R983" s="186"/>
      <c r="S983" s="186"/>
      <c r="T983" s="186"/>
      <c r="U983" s="186"/>
      <c r="V983" s="186"/>
      <c r="W983" s="186"/>
      <c r="X983" s="186"/>
      <c r="Y983" s="186"/>
      <c r="Z983" s="305"/>
      <c r="AA983" s="60"/>
      <c r="AB983" s="60"/>
      <c r="AC983" s="60"/>
      <c r="AD983" s="60"/>
      <c r="AE983" s="60"/>
      <c r="AF983" s="60"/>
      <c r="AG983" s="60"/>
      <c r="AH983" s="60"/>
      <c r="AI983" s="60"/>
      <c r="AJ983" s="60"/>
    </row>
    <row r="984" spans="1:36" s="59" customFormat="1" ht="35.25">
      <c r="A984" s="193"/>
      <c r="B984" s="203"/>
      <c r="C984" s="186"/>
      <c r="D984" s="186"/>
      <c r="E984" s="186"/>
      <c r="F984" s="186"/>
      <c r="G984" s="186"/>
      <c r="H984" s="186"/>
      <c r="I984" s="186"/>
      <c r="J984" s="186"/>
      <c r="K984" s="186"/>
      <c r="L984" s="370"/>
      <c r="M984" s="370"/>
      <c r="N984" s="370"/>
      <c r="O984" s="370"/>
      <c r="P984" s="370"/>
      <c r="Q984" s="186"/>
      <c r="R984" s="186"/>
      <c r="S984" s="186"/>
      <c r="T984" s="186"/>
      <c r="U984" s="186"/>
      <c r="V984" s="186"/>
      <c r="W984" s="186"/>
      <c r="X984" s="186"/>
      <c r="Y984" s="186"/>
      <c r="Z984" s="305"/>
      <c r="AA984" s="60"/>
      <c r="AB984" s="60"/>
      <c r="AC984" s="60"/>
      <c r="AD984" s="60"/>
      <c r="AE984" s="60"/>
      <c r="AF984" s="60"/>
      <c r="AG984" s="60"/>
      <c r="AH984" s="60"/>
      <c r="AI984" s="60"/>
      <c r="AJ984" s="60"/>
    </row>
    <row r="985" spans="1:36" s="59" customFormat="1" ht="35.25">
      <c r="A985" s="193"/>
      <c r="B985" s="203"/>
      <c r="C985" s="186"/>
      <c r="D985" s="186"/>
      <c r="E985" s="186"/>
      <c r="F985" s="186"/>
      <c r="G985" s="186"/>
      <c r="H985" s="186"/>
      <c r="I985" s="186"/>
      <c r="J985" s="186"/>
      <c r="K985" s="186"/>
      <c r="L985" s="370"/>
      <c r="M985" s="370"/>
      <c r="N985" s="370"/>
      <c r="O985" s="370"/>
      <c r="P985" s="370"/>
      <c r="Q985" s="186"/>
      <c r="R985" s="186"/>
      <c r="S985" s="186"/>
      <c r="T985" s="186"/>
      <c r="U985" s="186"/>
      <c r="V985" s="186"/>
      <c r="W985" s="186"/>
      <c r="X985" s="186"/>
      <c r="Y985" s="186"/>
      <c r="Z985" s="305"/>
      <c r="AA985" s="60"/>
      <c r="AB985" s="60"/>
      <c r="AC985" s="60"/>
      <c r="AD985" s="60"/>
      <c r="AE985" s="60"/>
      <c r="AF985" s="60"/>
      <c r="AG985" s="60"/>
      <c r="AH985" s="60"/>
      <c r="AI985" s="60"/>
      <c r="AJ985" s="60"/>
    </row>
    <row r="986" spans="1:36" s="59" customFormat="1" ht="35.25">
      <c r="A986" s="193"/>
      <c r="B986" s="203"/>
      <c r="C986" s="186"/>
      <c r="D986" s="186"/>
      <c r="E986" s="186"/>
      <c r="F986" s="186"/>
      <c r="G986" s="186"/>
      <c r="H986" s="186"/>
      <c r="I986" s="186"/>
      <c r="J986" s="186"/>
      <c r="K986" s="186"/>
      <c r="L986" s="370"/>
      <c r="M986" s="370"/>
      <c r="N986" s="370"/>
      <c r="O986" s="370"/>
      <c r="P986" s="370"/>
      <c r="Q986" s="186"/>
      <c r="R986" s="186"/>
      <c r="S986" s="186"/>
      <c r="T986" s="186"/>
      <c r="U986" s="186"/>
      <c r="V986" s="186"/>
      <c r="W986" s="186"/>
      <c r="X986" s="186"/>
      <c r="Y986" s="186"/>
      <c r="Z986" s="305"/>
      <c r="AA986" s="60"/>
      <c r="AB986" s="60"/>
      <c r="AC986" s="60"/>
      <c r="AD986" s="60"/>
      <c r="AE986" s="60"/>
      <c r="AF986" s="60"/>
      <c r="AG986" s="60"/>
      <c r="AH986" s="60"/>
      <c r="AI986" s="60"/>
      <c r="AJ986" s="60"/>
    </row>
    <row r="987" spans="1:36" s="59" customFormat="1" ht="35.25">
      <c r="A987" s="193"/>
      <c r="B987" s="203"/>
      <c r="C987" s="186"/>
      <c r="D987" s="186"/>
      <c r="E987" s="186"/>
      <c r="F987" s="186"/>
      <c r="G987" s="186"/>
      <c r="H987" s="186"/>
      <c r="I987" s="186"/>
      <c r="J987" s="186"/>
      <c r="K987" s="186"/>
      <c r="L987" s="370"/>
      <c r="M987" s="370"/>
      <c r="N987" s="370"/>
      <c r="O987" s="370"/>
      <c r="P987" s="370"/>
      <c r="Q987" s="186"/>
      <c r="R987" s="186"/>
      <c r="S987" s="186"/>
      <c r="T987" s="186"/>
      <c r="U987" s="186"/>
      <c r="V987" s="186"/>
      <c r="W987" s="186"/>
      <c r="X987" s="186"/>
      <c r="Y987" s="186"/>
      <c r="Z987" s="305"/>
      <c r="AA987" s="60"/>
      <c r="AB987" s="60"/>
      <c r="AC987" s="60"/>
      <c r="AD987" s="60"/>
      <c r="AE987" s="60"/>
      <c r="AF987" s="60"/>
      <c r="AG987" s="60"/>
      <c r="AH987" s="60"/>
      <c r="AI987" s="60"/>
      <c r="AJ987" s="60"/>
    </row>
    <row r="988" spans="1:36" s="59" customFormat="1" ht="35.25">
      <c r="A988" s="193"/>
      <c r="B988" s="203"/>
      <c r="C988" s="186"/>
      <c r="D988" s="186"/>
      <c r="E988" s="186"/>
      <c r="F988" s="186"/>
      <c r="G988" s="186"/>
      <c r="H988" s="186"/>
      <c r="I988" s="186"/>
      <c r="J988" s="186"/>
      <c r="K988" s="186"/>
      <c r="L988" s="370"/>
      <c r="M988" s="370"/>
      <c r="N988" s="370"/>
      <c r="O988" s="370"/>
      <c r="P988" s="370"/>
      <c r="Q988" s="186"/>
      <c r="R988" s="186"/>
      <c r="S988" s="186"/>
      <c r="T988" s="186"/>
      <c r="U988" s="186"/>
      <c r="V988" s="186"/>
      <c r="W988" s="186"/>
      <c r="X988" s="186"/>
      <c r="Y988" s="186"/>
      <c r="Z988" s="305"/>
      <c r="AA988" s="60"/>
      <c r="AB988" s="60"/>
      <c r="AC988" s="60"/>
      <c r="AD988" s="60"/>
      <c r="AE988" s="60"/>
      <c r="AF988" s="60"/>
      <c r="AG988" s="60"/>
      <c r="AH988" s="60"/>
      <c r="AI988" s="60"/>
      <c r="AJ988" s="60"/>
    </row>
    <row r="989" spans="1:36" s="59" customFormat="1" ht="35.25">
      <c r="A989" s="193"/>
      <c r="B989" s="203"/>
      <c r="C989" s="186"/>
      <c r="D989" s="186"/>
      <c r="E989" s="186"/>
      <c r="F989" s="186"/>
      <c r="G989" s="186"/>
      <c r="H989" s="186"/>
      <c r="I989" s="186"/>
      <c r="J989" s="186"/>
      <c r="K989" s="186"/>
      <c r="L989" s="370"/>
      <c r="M989" s="370"/>
      <c r="N989" s="370"/>
      <c r="O989" s="370"/>
      <c r="P989" s="370"/>
      <c r="Q989" s="186"/>
      <c r="R989" s="186"/>
      <c r="S989" s="186"/>
      <c r="T989" s="186"/>
      <c r="U989" s="186"/>
      <c r="V989" s="186"/>
      <c r="W989" s="186"/>
      <c r="X989" s="186"/>
      <c r="Y989" s="186"/>
      <c r="Z989" s="305"/>
      <c r="AA989" s="60"/>
      <c r="AB989" s="60"/>
      <c r="AC989" s="60"/>
      <c r="AD989" s="60"/>
      <c r="AE989" s="60"/>
      <c r="AF989" s="60"/>
      <c r="AG989" s="60"/>
      <c r="AH989" s="60"/>
      <c r="AI989" s="60"/>
      <c r="AJ989" s="60"/>
    </row>
    <row r="990" spans="1:36" s="59" customFormat="1" ht="35.25">
      <c r="A990" s="193"/>
      <c r="B990" s="203"/>
      <c r="C990" s="186"/>
      <c r="D990" s="186"/>
      <c r="E990" s="186"/>
      <c r="F990" s="186"/>
      <c r="G990" s="186"/>
      <c r="H990" s="186"/>
      <c r="I990" s="186"/>
      <c r="J990" s="186"/>
      <c r="K990" s="186"/>
      <c r="L990" s="370"/>
      <c r="M990" s="370"/>
      <c r="N990" s="370"/>
      <c r="O990" s="370"/>
      <c r="P990" s="370"/>
      <c r="Q990" s="186"/>
      <c r="R990" s="186"/>
      <c r="S990" s="186"/>
      <c r="T990" s="186"/>
      <c r="U990" s="186"/>
      <c r="V990" s="186"/>
      <c r="W990" s="186"/>
      <c r="X990" s="186"/>
      <c r="Y990" s="186"/>
      <c r="Z990" s="305"/>
      <c r="AA990" s="60"/>
      <c r="AB990" s="60"/>
      <c r="AC990" s="60"/>
      <c r="AD990" s="60"/>
      <c r="AE990" s="60"/>
      <c r="AF990" s="60"/>
      <c r="AG990" s="60"/>
      <c r="AH990" s="60"/>
      <c r="AI990" s="60"/>
      <c r="AJ990" s="60"/>
    </row>
    <row r="991" spans="1:36" s="59" customFormat="1" ht="35.25">
      <c r="A991" s="193"/>
      <c r="B991" s="203"/>
      <c r="C991" s="186"/>
      <c r="D991" s="186"/>
      <c r="E991" s="186"/>
      <c r="F991" s="186"/>
      <c r="G991" s="186"/>
      <c r="H991" s="186"/>
      <c r="I991" s="186"/>
      <c r="J991" s="186"/>
      <c r="K991" s="186"/>
      <c r="L991" s="370"/>
      <c r="M991" s="370"/>
      <c r="N991" s="370"/>
      <c r="O991" s="370"/>
      <c r="P991" s="370"/>
      <c r="Q991" s="186"/>
      <c r="R991" s="186"/>
      <c r="S991" s="186"/>
      <c r="T991" s="186"/>
      <c r="U991" s="186"/>
      <c r="V991" s="186"/>
      <c r="W991" s="186"/>
      <c r="X991" s="186"/>
      <c r="Y991" s="186"/>
      <c r="Z991" s="305"/>
      <c r="AA991" s="60"/>
      <c r="AB991" s="60"/>
      <c r="AC991" s="60"/>
      <c r="AD991" s="60"/>
      <c r="AE991" s="60"/>
      <c r="AF991" s="60"/>
      <c r="AG991" s="60"/>
      <c r="AH991" s="60"/>
      <c r="AI991" s="60"/>
      <c r="AJ991" s="60"/>
    </row>
    <row r="992" spans="1:36" s="59" customFormat="1" ht="35.25">
      <c r="A992" s="193"/>
      <c r="B992" s="203"/>
      <c r="C992" s="186"/>
      <c r="D992" s="186"/>
      <c r="E992" s="186"/>
      <c r="F992" s="186"/>
      <c r="G992" s="186"/>
      <c r="H992" s="186"/>
      <c r="I992" s="186"/>
      <c r="J992" s="186"/>
      <c r="K992" s="186"/>
      <c r="L992" s="370"/>
      <c r="M992" s="370"/>
      <c r="N992" s="370"/>
      <c r="O992" s="370"/>
      <c r="P992" s="370"/>
      <c r="Q992" s="186"/>
      <c r="R992" s="186"/>
      <c r="S992" s="186"/>
      <c r="T992" s="186"/>
      <c r="U992" s="186"/>
      <c r="V992" s="186"/>
      <c r="W992" s="186"/>
      <c r="X992" s="186"/>
      <c r="Y992" s="186"/>
      <c r="Z992" s="305"/>
      <c r="AA992" s="60"/>
      <c r="AB992" s="60"/>
      <c r="AC992" s="60"/>
      <c r="AD992" s="60"/>
      <c r="AE992" s="60"/>
      <c r="AF992" s="60"/>
      <c r="AG992" s="60"/>
      <c r="AH992" s="60"/>
      <c r="AI992" s="60"/>
      <c r="AJ992" s="60"/>
    </row>
    <row r="993" spans="1:36" s="59" customFormat="1" ht="35.25">
      <c r="A993" s="193"/>
      <c r="B993" s="203"/>
      <c r="C993" s="186"/>
      <c r="D993" s="186"/>
      <c r="E993" s="186"/>
      <c r="F993" s="186"/>
      <c r="G993" s="186"/>
      <c r="H993" s="186"/>
      <c r="I993" s="186"/>
      <c r="J993" s="186"/>
      <c r="K993" s="186"/>
      <c r="L993" s="370"/>
      <c r="M993" s="370"/>
      <c r="N993" s="370"/>
      <c r="O993" s="370"/>
      <c r="P993" s="370"/>
      <c r="Q993" s="186"/>
      <c r="R993" s="186"/>
      <c r="S993" s="186"/>
      <c r="T993" s="186"/>
      <c r="U993" s="186"/>
      <c r="V993" s="186"/>
      <c r="W993" s="186"/>
      <c r="X993" s="186"/>
      <c r="Y993" s="186"/>
      <c r="Z993" s="305"/>
      <c r="AA993" s="60"/>
      <c r="AB993" s="60"/>
      <c r="AC993" s="60"/>
      <c r="AD993" s="60"/>
      <c r="AE993" s="60"/>
      <c r="AF993" s="60"/>
      <c r="AG993" s="60"/>
      <c r="AH993" s="60"/>
      <c r="AI993" s="60"/>
      <c r="AJ993" s="60"/>
    </row>
    <row r="994" spans="1:36" s="59" customFormat="1" ht="35.25">
      <c r="A994" s="193"/>
      <c r="B994" s="203"/>
      <c r="C994" s="186"/>
      <c r="D994" s="186"/>
      <c r="E994" s="186"/>
      <c r="F994" s="186"/>
      <c r="G994" s="186"/>
      <c r="H994" s="186"/>
      <c r="I994" s="186"/>
      <c r="J994" s="186"/>
      <c r="K994" s="186"/>
      <c r="L994" s="370"/>
      <c r="M994" s="370"/>
      <c r="N994" s="370"/>
      <c r="O994" s="370"/>
      <c r="P994" s="370"/>
      <c r="Q994" s="186"/>
      <c r="R994" s="186"/>
      <c r="S994" s="186"/>
      <c r="T994" s="186"/>
      <c r="U994" s="186"/>
      <c r="V994" s="186"/>
      <c r="W994" s="186"/>
      <c r="X994" s="186"/>
      <c r="Y994" s="186"/>
      <c r="Z994" s="305"/>
      <c r="AA994" s="60"/>
      <c r="AB994" s="60"/>
      <c r="AC994" s="60"/>
      <c r="AD994" s="60"/>
      <c r="AE994" s="60"/>
      <c r="AF994" s="60"/>
      <c r="AG994" s="60"/>
      <c r="AH994" s="60"/>
      <c r="AI994" s="60"/>
      <c r="AJ994" s="60"/>
    </row>
    <row r="995" spans="1:36" s="59" customFormat="1" ht="35.25">
      <c r="A995" s="193"/>
      <c r="B995" s="203"/>
      <c r="C995" s="186"/>
      <c r="D995" s="186"/>
      <c r="E995" s="186"/>
      <c r="F995" s="186"/>
      <c r="G995" s="186"/>
      <c r="H995" s="186"/>
      <c r="I995" s="186"/>
      <c r="J995" s="186"/>
      <c r="K995" s="186"/>
      <c r="L995" s="370"/>
      <c r="M995" s="370"/>
      <c r="N995" s="370"/>
      <c r="O995" s="370"/>
      <c r="P995" s="370"/>
      <c r="Q995" s="186"/>
      <c r="R995" s="186"/>
      <c r="S995" s="186"/>
      <c r="T995" s="186"/>
      <c r="U995" s="186"/>
      <c r="V995" s="186"/>
      <c r="W995" s="186"/>
      <c r="X995" s="186"/>
      <c r="Y995" s="186"/>
      <c r="Z995" s="305"/>
      <c r="AA995" s="60"/>
      <c r="AB995" s="60"/>
      <c r="AC995" s="60"/>
      <c r="AD995" s="60"/>
      <c r="AE995" s="60"/>
      <c r="AF995" s="60"/>
      <c r="AG995" s="60"/>
      <c r="AH995" s="60"/>
      <c r="AI995" s="60"/>
      <c r="AJ995" s="60"/>
    </row>
    <row r="996" spans="1:36" s="59" customFormat="1" ht="35.25">
      <c r="A996" s="193"/>
      <c r="B996" s="203"/>
      <c r="C996" s="186"/>
      <c r="D996" s="186"/>
      <c r="E996" s="186"/>
      <c r="F996" s="186"/>
      <c r="G996" s="186"/>
      <c r="H996" s="186"/>
      <c r="I996" s="186"/>
      <c r="J996" s="186"/>
      <c r="K996" s="186"/>
      <c r="L996" s="370"/>
      <c r="M996" s="370"/>
      <c r="N996" s="370"/>
      <c r="O996" s="370"/>
      <c r="P996" s="370"/>
      <c r="Q996" s="186"/>
      <c r="R996" s="186"/>
      <c r="S996" s="186"/>
      <c r="T996" s="186"/>
      <c r="U996" s="186"/>
      <c r="V996" s="186"/>
      <c r="W996" s="186"/>
      <c r="X996" s="186"/>
      <c r="Y996" s="186"/>
      <c r="Z996" s="305"/>
      <c r="AA996" s="60"/>
      <c r="AB996" s="60"/>
      <c r="AC996" s="60"/>
      <c r="AD996" s="60"/>
      <c r="AE996" s="60"/>
      <c r="AF996" s="60"/>
      <c r="AG996" s="60"/>
      <c r="AH996" s="60"/>
      <c r="AI996" s="60"/>
      <c r="AJ996" s="60"/>
    </row>
    <row r="997" spans="1:36" s="59" customFormat="1" ht="35.25">
      <c r="A997" s="193"/>
      <c r="B997" s="203"/>
      <c r="C997" s="186"/>
      <c r="D997" s="186"/>
      <c r="E997" s="186"/>
      <c r="F997" s="186"/>
      <c r="G997" s="186"/>
      <c r="H997" s="186"/>
      <c r="I997" s="186"/>
      <c r="J997" s="186"/>
      <c r="K997" s="186"/>
      <c r="L997" s="370"/>
      <c r="M997" s="370"/>
      <c r="N997" s="370"/>
      <c r="O997" s="370"/>
      <c r="P997" s="370"/>
      <c r="Q997" s="186"/>
      <c r="R997" s="186"/>
      <c r="S997" s="186"/>
      <c r="T997" s="186"/>
      <c r="U997" s="186"/>
      <c r="V997" s="186"/>
      <c r="W997" s="186"/>
      <c r="X997" s="186"/>
      <c r="Y997" s="186"/>
      <c r="Z997" s="305"/>
      <c r="AA997" s="60"/>
      <c r="AB997" s="60"/>
      <c r="AC997" s="60"/>
      <c r="AD997" s="60"/>
      <c r="AE997" s="60"/>
      <c r="AF997" s="60"/>
      <c r="AG997" s="60"/>
      <c r="AH997" s="60"/>
      <c r="AI997" s="60"/>
      <c r="AJ997" s="60"/>
    </row>
    <row r="998" spans="1:36" s="59" customFormat="1" ht="35.25">
      <c r="A998" s="193"/>
      <c r="B998" s="203"/>
      <c r="C998" s="186"/>
      <c r="D998" s="186"/>
      <c r="E998" s="186"/>
      <c r="F998" s="186"/>
      <c r="G998" s="186"/>
      <c r="H998" s="186"/>
      <c r="I998" s="186"/>
      <c r="J998" s="186"/>
      <c r="K998" s="186"/>
      <c r="L998" s="370"/>
      <c r="M998" s="370"/>
      <c r="N998" s="370"/>
      <c r="O998" s="370"/>
      <c r="P998" s="370"/>
      <c r="Q998" s="186"/>
      <c r="R998" s="186"/>
      <c r="S998" s="186"/>
      <c r="T998" s="186"/>
      <c r="U998" s="186"/>
      <c r="V998" s="186"/>
      <c r="W998" s="186"/>
      <c r="X998" s="186"/>
      <c r="Y998" s="186"/>
      <c r="Z998" s="305"/>
      <c r="AA998" s="60"/>
      <c r="AB998" s="60"/>
      <c r="AC998" s="60"/>
      <c r="AD998" s="60"/>
      <c r="AE998" s="60"/>
      <c r="AF998" s="60"/>
      <c r="AG998" s="60"/>
      <c r="AH998" s="60"/>
      <c r="AI998" s="60"/>
      <c r="AJ998" s="60"/>
    </row>
    <row r="999" spans="1:36" s="59" customFormat="1" ht="35.25">
      <c r="A999" s="193"/>
      <c r="B999" s="203"/>
      <c r="C999" s="186"/>
      <c r="D999" s="186"/>
      <c r="E999" s="186"/>
      <c r="F999" s="186"/>
      <c r="G999" s="186"/>
      <c r="H999" s="186"/>
      <c r="I999" s="186"/>
      <c r="J999" s="186"/>
      <c r="K999" s="186"/>
      <c r="L999" s="370"/>
      <c r="M999" s="370"/>
      <c r="N999" s="370"/>
      <c r="O999" s="370"/>
      <c r="P999" s="370"/>
      <c r="Q999" s="186"/>
      <c r="R999" s="186"/>
      <c r="S999" s="186"/>
      <c r="T999" s="186"/>
      <c r="U999" s="186"/>
      <c r="V999" s="186"/>
      <c r="W999" s="186"/>
      <c r="X999" s="186"/>
      <c r="Y999" s="186"/>
      <c r="Z999" s="305"/>
      <c r="AA999" s="60"/>
      <c r="AB999" s="60"/>
      <c r="AC999" s="60"/>
      <c r="AD999" s="60"/>
      <c r="AE999" s="60"/>
      <c r="AF999" s="60"/>
      <c r="AG999" s="60"/>
      <c r="AH999" s="60"/>
      <c r="AI999" s="60"/>
      <c r="AJ999" s="60"/>
    </row>
    <row r="1000" spans="1:36" s="59" customFormat="1" ht="35.25">
      <c r="A1000" s="193"/>
      <c r="B1000" s="203"/>
      <c r="C1000" s="186"/>
      <c r="D1000" s="186"/>
      <c r="E1000" s="186"/>
      <c r="F1000" s="186"/>
      <c r="G1000" s="186"/>
      <c r="H1000" s="186"/>
      <c r="I1000" s="186"/>
      <c r="J1000" s="186"/>
      <c r="K1000" s="186"/>
      <c r="L1000" s="370"/>
      <c r="M1000" s="370"/>
      <c r="N1000" s="370"/>
      <c r="O1000" s="370"/>
      <c r="P1000" s="370"/>
      <c r="Q1000" s="186"/>
      <c r="R1000" s="186"/>
      <c r="S1000" s="186"/>
      <c r="T1000" s="186"/>
      <c r="U1000" s="186"/>
      <c r="V1000" s="186"/>
      <c r="W1000" s="186"/>
      <c r="X1000" s="186"/>
      <c r="Y1000" s="186"/>
      <c r="Z1000" s="305"/>
      <c r="AA1000" s="60"/>
      <c r="AB1000" s="60"/>
      <c r="AC1000" s="60"/>
      <c r="AD1000" s="60"/>
      <c r="AE1000" s="60"/>
      <c r="AF1000" s="60"/>
      <c r="AG1000" s="60"/>
      <c r="AH1000" s="60"/>
      <c r="AI1000" s="60"/>
      <c r="AJ1000" s="60"/>
    </row>
    <row r="1001" spans="1:36" s="59" customFormat="1" ht="35.25">
      <c r="A1001" s="193"/>
      <c r="B1001" s="203"/>
      <c r="C1001" s="186"/>
      <c r="D1001" s="186"/>
      <c r="E1001" s="186"/>
      <c r="F1001" s="186"/>
      <c r="G1001" s="186"/>
      <c r="H1001" s="186"/>
      <c r="I1001" s="186"/>
      <c r="J1001" s="186"/>
      <c r="K1001" s="186"/>
      <c r="L1001" s="370"/>
      <c r="M1001" s="370"/>
      <c r="N1001" s="370"/>
      <c r="O1001" s="370"/>
      <c r="P1001" s="370"/>
      <c r="Q1001" s="186"/>
      <c r="R1001" s="186"/>
      <c r="S1001" s="186"/>
      <c r="T1001" s="186"/>
      <c r="U1001" s="186"/>
      <c r="V1001" s="186"/>
      <c r="W1001" s="186"/>
      <c r="X1001" s="186"/>
      <c r="Y1001" s="186"/>
      <c r="Z1001" s="305"/>
      <c r="AA1001" s="60"/>
      <c r="AB1001" s="60"/>
      <c r="AC1001" s="60"/>
      <c r="AD1001" s="60"/>
      <c r="AE1001" s="60"/>
      <c r="AF1001" s="60"/>
      <c r="AG1001" s="60"/>
      <c r="AH1001" s="60"/>
      <c r="AI1001" s="60"/>
      <c r="AJ1001" s="60"/>
    </row>
    <row r="1002" spans="1:36" s="59" customFormat="1" ht="35.25">
      <c r="A1002" s="193"/>
      <c r="B1002" s="203"/>
      <c r="C1002" s="186"/>
      <c r="D1002" s="186"/>
      <c r="E1002" s="186"/>
      <c r="F1002" s="186"/>
      <c r="G1002" s="186"/>
      <c r="H1002" s="186"/>
      <c r="I1002" s="186"/>
      <c r="J1002" s="186"/>
      <c r="K1002" s="186"/>
      <c r="L1002" s="370"/>
      <c r="M1002" s="370"/>
      <c r="N1002" s="370"/>
      <c r="O1002" s="370"/>
      <c r="P1002" s="370"/>
      <c r="Q1002" s="186"/>
      <c r="R1002" s="186"/>
      <c r="S1002" s="186"/>
      <c r="T1002" s="186"/>
      <c r="U1002" s="186"/>
      <c r="V1002" s="186"/>
      <c r="W1002" s="186"/>
      <c r="X1002" s="186"/>
      <c r="Y1002" s="186"/>
      <c r="Z1002" s="305"/>
      <c r="AA1002" s="60"/>
      <c r="AB1002" s="60"/>
      <c r="AC1002" s="60"/>
      <c r="AD1002" s="60"/>
      <c r="AE1002" s="60"/>
      <c r="AF1002" s="60"/>
      <c r="AG1002" s="60"/>
      <c r="AH1002" s="60"/>
      <c r="AI1002" s="60"/>
      <c r="AJ1002" s="60"/>
    </row>
    <row r="1003" spans="1:36" s="59" customFormat="1" ht="35.25">
      <c r="A1003" s="193"/>
      <c r="B1003" s="203"/>
      <c r="C1003" s="186"/>
      <c r="D1003" s="186"/>
      <c r="E1003" s="186"/>
      <c r="F1003" s="186"/>
      <c r="G1003" s="186"/>
      <c r="H1003" s="186"/>
      <c r="I1003" s="186"/>
      <c r="J1003" s="186"/>
      <c r="K1003" s="186"/>
      <c r="L1003" s="370"/>
      <c r="M1003" s="370"/>
      <c r="N1003" s="370"/>
      <c r="O1003" s="370"/>
      <c r="P1003" s="370"/>
      <c r="Q1003" s="186"/>
      <c r="R1003" s="186"/>
      <c r="S1003" s="186"/>
      <c r="T1003" s="186"/>
      <c r="U1003" s="186"/>
      <c r="V1003" s="186"/>
      <c r="W1003" s="186"/>
      <c r="X1003" s="186"/>
      <c r="Y1003" s="186"/>
      <c r="Z1003" s="305"/>
      <c r="AA1003" s="60"/>
      <c r="AB1003" s="60"/>
      <c r="AC1003" s="60"/>
      <c r="AD1003" s="60"/>
      <c r="AE1003" s="60"/>
      <c r="AF1003" s="60"/>
      <c r="AG1003" s="60"/>
      <c r="AH1003" s="60"/>
      <c r="AI1003" s="60"/>
      <c r="AJ1003" s="60"/>
    </row>
    <row r="1004" spans="1:36" s="59" customFormat="1" ht="35.25">
      <c r="A1004" s="193"/>
      <c r="B1004" s="203"/>
      <c r="C1004" s="186"/>
      <c r="D1004" s="186"/>
      <c r="E1004" s="186"/>
      <c r="F1004" s="186"/>
      <c r="G1004" s="186"/>
      <c r="H1004" s="186"/>
      <c r="I1004" s="186"/>
      <c r="J1004" s="186"/>
      <c r="K1004" s="186"/>
      <c r="L1004" s="370"/>
      <c r="M1004" s="370"/>
      <c r="N1004" s="370"/>
      <c r="O1004" s="370"/>
      <c r="P1004" s="370"/>
      <c r="Q1004" s="186"/>
      <c r="R1004" s="186"/>
      <c r="S1004" s="186"/>
      <c r="T1004" s="186"/>
      <c r="U1004" s="186"/>
      <c r="V1004" s="186"/>
      <c r="W1004" s="186"/>
      <c r="X1004" s="186"/>
      <c r="Y1004" s="186"/>
      <c r="Z1004" s="305"/>
      <c r="AA1004" s="60"/>
      <c r="AB1004" s="60"/>
      <c r="AC1004" s="60"/>
      <c r="AD1004" s="60"/>
      <c r="AE1004" s="60"/>
      <c r="AF1004" s="60"/>
      <c r="AG1004" s="60"/>
      <c r="AH1004" s="60"/>
      <c r="AI1004" s="60"/>
      <c r="AJ1004" s="60"/>
    </row>
    <row r="1005" spans="1:36" s="59" customFormat="1" ht="35.25">
      <c r="A1005" s="193"/>
      <c r="B1005" s="203"/>
      <c r="C1005" s="186"/>
      <c r="D1005" s="186"/>
      <c r="E1005" s="186"/>
      <c r="F1005" s="186"/>
      <c r="G1005" s="186"/>
      <c r="H1005" s="186"/>
      <c r="I1005" s="186"/>
      <c r="J1005" s="186"/>
      <c r="K1005" s="186"/>
      <c r="L1005" s="370"/>
      <c r="M1005" s="370"/>
      <c r="N1005" s="370"/>
      <c r="O1005" s="370"/>
      <c r="P1005" s="370"/>
      <c r="Q1005" s="186"/>
      <c r="R1005" s="186"/>
      <c r="S1005" s="186"/>
      <c r="T1005" s="186"/>
      <c r="U1005" s="186"/>
      <c r="V1005" s="186"/>
      <c r="W1005" s="186"/>
      <c r="X1005" s="186"/>
      <c r="Y1005" s="186"/>
      <c r="Z1005" s="305"/>
      <c r="AA1005" s="60"/>
      <c r="AB1005" s="60"/>
      <c r="AC1005" s="60"/>
      <c r="AD1005" s="60"/>
      <c r="AE1005" s="60"/>
      <c r="AF1005" s="60"/>
      <c r="AG1005" s="60"/>
      <c r="AH1005" s="60"/>
      <c r="AI1005" s="60"/>
      <c r="AJ1005" s="60"/>
    </row>
    <row r="1006" spans="1:36" s="59" customFormat="1" ht="35.25">
      <c r="A1006" s="193"/>
      <c r="B1006" s="203"/>
      <c r="C1006" s="186"/>
      <c r="D1006" s="186"/>
      <c r="E1006" s="186"/>
      <c r="F1006" s="186"/>
      <c r="G1006" s="186"/>
      <c r="H1006" s="186"/>
      <c r="I1006" s="186"/>
      <c r="J1006" s="186"/>
      <c r="K1006" s="186"/>
      <c r="L1006" s="370"/>
      <c r="M1006" s="370"/>
      <c r="N1006" s="370"/>
      <c r="O1006" s="370"/>
      <c r="P1006" s="370"/>
      <c r="Q1006" s="186"/>
      <c r="R1006" s="186"/>
      <c r="S1006" s="186"/>
      <c r="T1006" s="186"/>
      <c r="U1006" s="186"/>
      <c r="V1006" s="186"/>
      <c r="W1006" s="186"/>
      <c r="X1006" s="186"/>
      <c r="Y1006" s="186"/>
      <c r="Z1006" s="305"/>
      <c r="AA1006" s="60"/>
      <c r="AB1006" s="60"/>
      <c r="AC1006" s="60"/>
      <c r="AD1006" s="60"/>
      <c r="AE1006" s="60"/>
      <c r="AF1006" s="60"/>
      <c r="AG1006" s="60"/>
      <c r="AH1006" s="60"/>
      <c r="AI1006" s="60"/>
      <c r="AJ1006" s="60"/>
    </row>
    <row r="1007" spans="1:36" s="59" customFormat="1" ht="35.25">
      <c r="A1007" s="193"/>
      <c r="B1007" s="203"/>
      <c r="C1007" s="186"/>
      <c r="D1007" s="186"/>
      <c r="E1007" s="186"/>
      <c r="F1007" s="186"/>
      <c r="G1007" s="186"/>
      <c r="H1007" s="186"/>
      <c r="I1007" s="186"/>
      <c r="J1007" s="186"/>
      <c r="K1007" s="186"/>
      <c r="L1007" s="370"/>
      <c r="M1007" s="370"/>
      <c r="N1007" s="370"/>
      <c r="O1007" s="370"/>
      <c r="P1007" s="370"/>
      <c r="Q1007" s="186"/>
      <c r="R1007" s="186"/>
      <c r="S1007" s="186"/>
      <c r="T1007" s="186"/>
      <c r="U1007" s="186"/>
      <c r="V1007" s="186"/>
      <c r="W1007" s="186"/>
      <c r="X1007" s="186"/>
      <c r="Y1007" s="186"/>
      <c r="Z1007" s="305"/>
      <c r="AA1007" s="60"/>
      <c r="AB1007" s="60"/>
      <c r="AC1007" s="60"/>
      <c r="AD1007" s="60"/>
      <c r="AE1007" s="60"/>
      <c r="AF1007" s="60"/>
      <c r="AG1007" s="60"/>
      <c r="AH1007" s="60"/>
      <c r="AI1007" s="60"/>
      <c r="AJ1007" s="60"/>
    </row>
    <row r="1008" spans="1:36" s="59" customFormat="1" ht="35.25">
      <c r="A1008" s="193"/>
      <c r="B1008" s="203"/>
      <c r="C1008" s="186"/>
      <c r="D1008" s="186"/>
      <c r="E1008" s="186"/>
      <c r="F1008" s="186"/>
      <c r="G1008" s="186"/>
      <c r="H1008" s="186"/>
      <c r="I1008" s="186"/>
      <c r="J1008" s="186"/>
      <c r="K1008" s="186"/>
      <c r="L1008" s="370"/>
      <c r="M1008" s="370"/>
      <c r="N1008" s="370"/>
      <c r="O1008" s="370"/>
      <c r="P1008" s="370"/>
      <c r="Q1008" s="186"/>
      <c r="R1008" s="186"/>
      <c r="S1008" s="186"/>
      <c r="T1008" s="186"/>
      <c r="U1008" s="186"/>
      <c r="V1008" s="186"/>
      <c r="W1008" s="186"/>
      <c r="X1008" s="186"/>
      <c r="Y1008" s="186"/>
      <c r="Z1008" s="305"/>
      <c r="AA1008" s="60"/>
      <c r="AB1008" s="60"/>
      <c r="AC1008" s="60"/>
      <c r="AD1008" s="60"/>
      <c r="AE1008" s="60"/>
      <c r="AF1008" s="60"/>
      <c r="AG1008" s="60"/>
      <c r="AH1008" s="60"/>
      <c r="AI1008" s="60"/>
      <c r="AJ1008" s="60"/>
    </row>
    <row r="1009" spans="2:36" s="59" customFormat="1">
      <c r="B1009" s="203"/>
      <c r="C1009" s="186"/>
      <c r="D1009" s="186"/>
      <c r="E1009" s="186"/>
      <c r="F1009" s="186"/>
      <c r="G1009" s="186"/>
      <c r="H1009" s="186"/>
      <c r="I1009" s="186"/>
      <c r="J1009" s="186"/>
      <c r="K1009" s="186"/>
      <c r="L1009" s="370"/>
      <c r="M1009" s="370"/>
      <c r="N1009" s="370"/>
      <c r="O1009" s="370"/>
      <c r="P1009" s="370"/>
      <c r="Q1009" s="186"/>
      <c r="R1009" s="186"/>
      <c r="S1009" s="186"/>
      <c r="T1009" s="186"/>
      <c r="U1009" s="186"/>
      <c r="V1009" s="186"/>
      <c r="W1009" s="186"/>
      <c r="X1009" s="186"/>
      <c r="Y1009" s="186"/>
      <c r="Z1009" s="305"/>
      <c r="AA1009" s="60"/>
      <c r="AB1009" s="60"/>
      <c r="AC1009" s="60"/>
      <c r="AD1009" s="60"/>
      <c r="AE1009" s="60"/>
      <c r="AF1009" s="60"/>
      <c r="AG1009" s="60"/>
      <c r="AH1009" s="60"/>
      <c r="AI1009" s="60"/>
      <c r="AJ1009" s="60"/>
    </row>
    <row r="1010" spans="2:36" s="59" customFormat="1">
      <c r="B1010" s="203"/>
      <c r="C1010" s="186"/>
      <c r="D1010" s="186"/>
      <c r="E1010" s="186"/>
      <c r="F1010" s="186"/>
      <c r="G1010" s="186"/>
      <c r="H1010" s="186"/>
      <c r="I1010" s="186"/>
      <c r="J1010" s="186"/>
      <c r="K1010" s="186"/>
      <c r="L1010" s="370"/>
      <c r="M1010" s="370"/>
      <c r="N1010" s="370"/>
      <c r="O1010" s="370"/>
      <c r="P1010" s="370"/>
      <c r="Q1010" s="186"/>
      <c r="R1010" s="186"/>
      <c r="S1010" s="186"/>
      <c r="T1010" s="186"/>
      <c r="U1010" s="186"/>
      <c r="V1010" s="186"/>
      <c r="W1010" s="186"/>
      <c r="X1010" s="186"/>
      <c r="Y1010" s="186"/>
      <c r="Z1010" s="305"/>
      <c r="AA1010" s="60"/>
      <c r="AB1010" s="60"/>
      <c r="AC1010" s="60"/>
      <c r="AD1010" s="60"/>
      <c r="AE1010" s="60"/>
      <c r="AF1010" s="60"/>
      <c r="AG1010" s="60"/>
      <c r="AH1010" s="60"/>
      <c r="AI1010" s="60"/>
      <c r="AJ1010" s="60"/>
    </row>
    <row r="1011" spans="2:36" s="59" customFormat="1">
      <c r="B1011" s="203"/>
      <c r="C1011" s="186"/>
      <c r="D1011" s="186"/>
      <c r="E1011" s="186"/>
      <c r="F1011" s="186"/>
      <c r="G1011" s="186"/>
      <c r="H1011" s="186"/>
      <c r="I1011" s="186"/>
      <c r="J1011" s="186"/>
      <c r="K1011" s="186"/>
      <c r="L1011" s="370"/>
      <c r="M1011" s="370"/>
      <c r="N1011" s="370"/>
      <c r="O1011" s="370"/>
      <c r="P1011" s="370"/>
      <c r="Q1011" s="186"/>
      <c r="R1011" s="186"/>
      <c r="S1011" s="186"/>
      <c r="T1011" s="186"/>
      <c r="U1011" s="186"/>
      <c r="V1011" s="186"/>
      <c r="W1011" s="186"/>
      <c r="X1011" s="186"/>
      <c r="Y1011" s="186"/>
      <c r="Z1011" s="305"/>
      <c r="AA1011" s="60"/>
      <c r="AB1011" s="60"/>
      <c r="AC1011" s="60"/>
      <c r="AD1011" s="60"/>
      <c r="AE1011" s="60"/>
      <c r="AF1011" s="60"/>
      <c r="AG1011" s="60"/>
      <c r="AH1011" s="60"/>
      <c r="AI1011" s="60"/>
      <c r="AJ1011" s="60"/>
    </row>
    <row r="1012" spans="2:36" s="59" customFormat="1">
      <c r="B1012" s="203"/>
      <c r="C1012" s="186"/>
      <c r="D1012" s="186"/>
      <c r="E1012" s="186"/>
      <c r="F1012" s="186"/>
      <c r="G1012" s="186"/>
      <c r="H1012" s="186"/>
      <c r="I1012" s="186"/>
      <c r="J1012" s="186"/>
      <c r="K1012" s="186"/>
      <c r="L1012" s="370"/>
      <c r="M1012" s="370"/>
      <c r="N1012" s="370"/>
      <c r="O1012" s="370"/>
      <c r="P1012" s="370"/>
      <c r="Q1012" s="186"/>
      <c r="R1012" s="186"/>
      <c r="S1012" s="186"/>
      <c r="T1012" s="186"/>
      <c r="U1012" s="186"/>
      <c r="V1012" s="186"/>
      <c r="W1012" s="186"/>
      <c r="X1012" s="186"/>
      <c r="Y1012" s="186"/>
      <c r="Z1012" s="305"/>
      <c r="AA1012" s="60"/>
      <c r="AB1012" s="60"/>
      <c r="AC1012" s="60"/>
      <c r="AD1012" s="60"/>
      <c r="AE1012" s="60"/>
      <c r="AF1012" s="60"/>
      <c r="AG1012" s="60"/>
      <c r="AH1012" s="60"/>
      <c r="AI1012" s="60"/>
      <c r="AJ1012" s="60"/>
    </row>
    <row r="1013" spans="2:36" s="59" customFormat="1">
      <c r="B1013" s="203"/>
      <c r="C1013" s="186"/>
      <c r="D1013" s="186"/>
      <c r="E1013" s="186"/>
      <c r="F1013" s="186"/>
      <c r="G1013" s="186"/>
      <c r="H1013" s="186"/>
      <c r="I1013" s="186"/>
      <c r="J1013" s="186"/>
      <c r="K1013" s="186"/>
      <c r="L1013" s="370"/>
      <c r="M1013" s="370"/>
      <c r="N1013" s="370"/>
      <c r="O1013" s="370"/>
      <c r="P1013" s="370"/>
      <c r="Q1013" s="186"/>
      <c r="R1013" s="186"/>
      <c r="S1013" s="186"/>
      <c r="T1013" s="186"/>
      <c r="U1013" s="186"/>
      <c r="V1013" s="186"/>
      <c r="W1013" s="186"/>
      <c r="X1013" s="186"/>
      <c r="Y1013" s="186"/>
      <c r="Z1013" s="305"/>
      <c r="AA1013" s="60"/>
      <c r="AB1013" s="60"/>
      <c r="AC1013" s="60"/>
      <c r="AD1013" s="60"/>
      <c r="AE1013" s="60"/>
      <c r="AF1013" s="60"/>
      <c r="AG1013" s="60"/>
      <c r="AH1013" s="60"/>
      <c r="AI1013" s="60"/>
      <c r="AJ1013" s="60"/>
    </row>
    <row r="1014" spans="2:36" s="59" customFormat="1">
      <c r="B1014" s="203"/>
      <c r="C1014" s="186"/>
      <c r="D1014" s="186"/>
      <c r="E1014" s="186"/>
      <c r="F1014" s="186"/>
      <c r="G1014" s="186"/>
      <c r="H1014" s="186"/>
      <c r="I1014" s="186"/>
      <c r="J1014" s="186"/>
      <c r="K1014" s="186"/>
      <c r="L1014" s="370"/>
      <c r="M1014" s="370"/>
      <c r="N1014" s="370"/>
      <c r="O1014" s="370"/>
      <c r="P1014" s="370"/>
      <c r="Q1014" s="186"/>
      <c r="R1014" s="186"/>
      <c r="S1014" s="186"/>
      <c r="T1014" s="186"/>
      <c r="U1014" s="186"/>
      <c r="V1014" s="186"/>
      <c r="W1014" s="186"/>
      <c r="X1014" s="186"/>
      <c r="Y1014" s="186"/>
      <c r="Z1014" s="305"/>
      <c r="AA1014" s="60"/>
      <c r="AB1014" s="60"/>
      <c r="AC1014" s="60"/>
      <c r="AD1014" s="60"/>
      <c r="AE1014" s="60"/>
      <c r="AF1014" s="60"/>
      <c r="AG1014" s="60"/>
      <c r="AH1014" s="60"/>
      <c r="AI1014" s="60"/>
      <c r="AJ1014" s="60"/>
    </row>
    <row r="1015" spans="2:36" s="59" customFormat="1">
      <c r="B1015" s="203"/>
      <c r="C1015" s="186"/>
      <c r="D1015" s="186"/>
      <c r="E1015" s="186"/>
      <c r="F1015" s="186"/>
      <c r="G1015" s="186"/>
      <c r="H1015" s="186"/>
      <c r="I1015" s="186"/>
      <c r="J1015" s="186"/>
      <c r="K1015" s="186"/>
      <c r="L1015" s="370"/>
      <c r="M1015" s="370"/>
      <c r="N1015" s="370"/>
      <c r="O1015" s="370"/>
      <c r="P1015" s="370"/>
      <c r="Q1015" s="186"/>
      <c r="R1015" s="186"/>
      <c r="S1015" s="186"/>
      <c r="T1015" s="186"/>
      <c r="U1015" s="186"/>
      <c r="V1015" s="186"/>
      <c r="W1015" s="186"/>
      <c r="X1015" s="186"/>
      <c r="Y1015" s="186"/>
      <c r="Z1015" s="305"/>
      <c r="AA1015" s="60"/>
      <c r="AB1015" s="60"/>
      <c r="AC1015" s="60"/>
      <c r="AD1015" s="60"/>
      <c r="AE1015" s="60"/>
      <c r="AF1015" s="60"/>
      <c r="AG1015" s="60"/>
      <c r="AH1015" s="60"/>
      <c r="AI1015" s="60"/>
      <c r="AJ1015" s="60"/>
    </row>
    <row r="1016" spans="2:36" s="59" customFormat="1">
      <c r="B1016" s="203"/>
      <c r="C1016" s="186"/>
      <c r="D1016" s="186"/>
      <c r="E1016" s="186"/>
      <c r="F1016" s="186"/>
      <c r="G1016" s="186"/>
      <c r="H1016" s="186"/>
      <c r="I1016" s="186"/>
      <c r="J1016" s="186"/>
      <c r="K1016" s="186"/>
      <c r="L1016" s="370"/>
      <c r="M1016" s="370"/>
      <c r="N1016" s="370"/>
      <c r="O1016" s="370"/>
      <c r="P1016" s="370"/>
      <c r="Q1016" s="186"/>
      <c r="R1016" s="186"/>
      <c r="S1016" s="186"/>
      <c r="T1016" s="186"/>
      <c r="U1016" s="186"/>
      <c r="V1016" s="186"/>
      <c r="W1016" s="186"/>
      <c r="X1016" s="186"/>
      <c r="Y1016" s="186"/>
      <c r="Z1016" s="305"/>
      <c r="AA1016" s="60"/>
      <c r="AB1016" s="60"/>
      <c r="AC1016" s="60"/>
      <c r="AD1016" s="60"/>
      <c r="AE1016" s="60"/>
      <c r="AF1016" s="60"/>
      <c r="AG1016" s="60"/>
      <c r="AH1016" s="60"/>
      <c r="AI1016" s="60"/>
      <c r="AJ1016" s="60"/>
    </row>
    <row r="1017" spans="2:36" s="59" customFormat="1">
      <c r="B1017" s="203"/>
      <c r="C1017" s="186"/>
      <c r="D1017" s="186"/>
      <c r="E1017" s="186"/>
      <c r="F1017" s="186"/>
      <c r="G1017" s="186"/>
      <c r="H1017" s="186"/>
      <c r="I1017" s="186"/>
      <c r="J1017" s="186"/>
      <c r="K1017" s="186"/>
      <c r="L1017" s="370"/>
      <c r="M1017" s="370"/>
      <c r="N1017" s="370"/>
      <c r="O1017" s="370"/>
      <c r="P1017" s="370"/>
      <c r="Q1017" s="186"/>
      <c r="R1017" s="186"/>
      <c r="S1017" s="186"/>
      <c r="T1017" s="186"/>
      <c r="U1017" s="186"/>
      <c r="V1017" s="186"/>
      <c r="W1017" s="186"/>
      <c r="X1017" s="186"/>
      <c r="Y1017" s="186"/>
      <c r="Z1017" s="305"/>
      <c r="AA1017" s="60"/>
      <c r="AB1017" s="60"/>
      <c r="AC1017" s="60"/>
      <c r="AD1017" s="60"/>
      <c r="AE1017" s="60"/>
      <c r="AF1017" s="60"/>
      <c r="AG1017" s="60"/>
      <c r="AH1017" s="60"/>
      <c r="AI1017" s="60"/>
      <c r="AJ1017" s="60"/>
    </row>
    <row r="1018" spans="2:36" s="59" customFormat="1">
      <c r="B1018" s="203"/>
      <c r="C1018" s="186"/>
      <c r="D1018" s="186"/>
      <c r="E1018" s="186"/>
      <c r="F1018" s="186"/>
      <c r="G1018" s="186"/>
      <c r="H1018" s="186"/>
      <c r="I1018" s="186"/>
      <c r="J1018" s="186"/>
      <c r="K1018" s="186"/>
      <c r="L1018" s="370"/>
      <c r="M1018" s="370"/>
      <c r="N1018" s="370"/>
      <c r="O1018" s="370"/>
      <c r="P1018" s="370"/>
      <c r="Q1018" s="186"/>
      <c r="R1018" s="186"/>
      <c r="S1018" s="186"/>
      <c r="T1018" s="186"/>
      <c r="U1018" s="186"/>
      <c r="V1018" s="186"/>
      <c r="W1018" s="186"/>
      <c r="X1018" s="186"/>
      <c r="Y1018" s="186"/>
      <c r="Z1018" s="305"/>
      <c r="AA1018" s="60"/>
      <c r="AB1018" s="60"/>
      <c r="AC1018" s="60"/>
      <c r="AD1018" s="60"/>
      <c r="AE1018" s="60"/>
      <c r="AF1018" s="60"/>
      <c r="AG1018" s="60"/>
      <c r="AH1018" s="60"/>
      <c r="AI1018" s="60"/>
      <c r="AJ1018" s="60"/>
    </row>
    <row r="1019" spans="2:36" s="59" customFormat="1">
      <c r="B1019" s="203"/>
      <c r="C1019" s="186"/>
      <c r="D1019" s="186"/>
      <c r="E1019" s="186"/>
      <c r="F1019" s="186"/>
      <c r="G1019" s="186"/>
      <c r="H1019" s="186"/>
      <c r="I1019" s="186"/>
      <c r="J1019" s="186"/>
      <c r="K1019" s="186"/>
      <c r="L1019" s="370"/>
      <c r="M1019" s="370"/>
      <c r="N1019" s="370"/>
      <c r="O1019" s="370"/>
      <c r="P1019" s="370"/>
      <c r="Q1019" s="186"/>
      <c r="R1019" s="186"/>
      <c r="S1019" s="186"/>
      <c r="T1019" s="186"/>
      <c r="U1019" s="186"/>
      <c r="V1019" s="186"/>
      <c r="W1019" s="186"/>
      <c r="X1019" s="186"/>
      <c r="Y1019" s="186"/>
      <c r="Z1019" s="305"/>
      <c r="AA1019" s="60"/>
      <c r="AB1019" s="60"/>
      <c r="AC1019" s="60"/>
      <c r="AD1019" s="60"/>
      <c r="AE1019" s="60"/>
      <c r="AF1019" s="60"/>
      <c r="AG1019" s="60"/>
      <c r="AH1019" s="60"/>
      <c r="AI1019" s="60"/>
      <c r="AJ1019" s="60"/>
    </row>
    <row r="1020" spans="2:36" s="59" customFormat="1">
      <c r="B1020" s="203"/>
      <c r="C1020" s="186"/>
      <c r="D1020" s="186"/>
      <c r="E1020" s="186"/>
      <c r="F1020" s="186"/>
      <c r="G1020" s="186"/>
      <c r="H1020" s="186"/>
      <c r="I1020" s="186"/>
      <c r="J1020" s="186"/>
      <c r="K1020" s="186"/>
      <c r="L1020" s="370"/>
      <c r="M1020" s="370"/>
      <c r="N1020" s="370"/>
      <c r="O1020" s="370"/>
      <c r="P1020" s="370"/>
      <c r="Q1020" s="186"/>
      <c r="R1020" s="186"/>
      <c r="S1020" s="186"/>
      <c r="T1020" s="186"/>
      <c r="U1020" s="186"/>
      <c r="V1020" s="186"/>
      <c r="W1020" s="186"/>
      <c r="X1020" s="186"/>
      <c r="Y1020" s="186"/>
      <c r="Z1020" s="305"/>
      <c r="AA1020" s="60"/>
      <c r="AB1020" s="60"/>
      <c r="AC1020" s="60"/>
      <c r="AD1020" s="60"/>
      <c r="AE1020" s="60"/>
      <c r="AF1020" s="60"/>
      <c r="AG1020" s="60"/>
      <c r="AH1020" s="60"/>
      <c r="AI1020" s="60"/>
      <c r="AJ1020" s="60"/>
    </row>
    <row r="1021" spans="2:36" s="59" customFormat="1">
      <c r="B1021" s="203"/>
      <c r="C1021" s="186"/>
      <c r="D1021" s="186"/>
      <c r="E1021" s="186"/>
      <c r="F1021" s="186"/>
      <c r="G1021" s="186"/>
      <c r="H1021" s="186"/>
      <c r="I1021" s="186"/>
      <c r="J1021" s="186"/>
      <c r="K1021" s="186"/>
      <c r="L1021" s="370"/>
      <c r="M1021" s="370"/>
      <c r="N1021" s="370"/>
      <c r="O1021" s="370"/>
      <c r="P1021" s="370"/>
      <c r="Q1021" s="186"/>
      <c r="R1021" s="186"/>
      <c r="S1021" s="186"/>
      <c r="T1021" s="186"/>
      <c r="U1021" s="186"/>
      <c r="V1021" s="186"/>
      <c r="W1021" s="186"/>
      <c r="X1021" s="186"/>
      <c r="Y1021" s="186"/>
      <c r="Z1021" s="305"/>
      <c r="AA1021" s="60"/>
      <c r="AB1021" s="60"/>
      <c r="AC1021" s="60"/>
      <c r="AD1021" s="60"/>
      <c r="AE1021" s="60"/>
      <c r="AF1021" s="60"/>
      <c r="AG1021" s="60"/>
      <c r="AH1021" s="60"/>
      <c r="AI1021" s="60"/>
      <c r="AJ1021" s="60"/>
    </row>
    <row r="1022" spans="2:36" s="59" customFormat="1">
      <c r="B1022" s="203"/>
      <c r="C1022" s="186"/>
      <c r="D1022" s="186"/>
      <c r="E1022" s="186"/>
      <c r="F1022" s="186"/>
      <c r="G1022" s="186"/>
      <c r="H1022" s="186"/>
      <c r="I1022" s="186"/>
      <c r="J1022" s="186"/>
      <c r="K1022" s="186"/>
      <c r="L1022" s="370"/>
      <c r="M1022" s="370"/>
      <c r="N1022" s="370"/>
      <c r="O1022" s="370"/>
      <c r="P1022" s="370"/>
      <c r="Q1022" s="186"/>
      <c r="R1022" s="186"/>
      <c r="S1022" s="186"/>
      <c r="T1022" s="186"/>
      <c r="U1022" s="186"/>
      <c r="V1022" s="186"/>
      <c r="W1022" s="186"/>
      <c r="X1022" s="186"/>
      <c r="Y1022" s="186"/>
      <c r="Z1022" s="305"/>
      <c r="AA1022" s="60"/>
      <c r="AB1022" s="60"/>
      <c r="AC1022" s="60"/>
      <c r="AD1022" s="60"/>
      <c r="AE1022" s="60"/>
      <c r="AF1022" s="60"/>
      <c r="AG1022" s="60"/>
      <c r="AH1022" s="60"/>
      <c r="AI1022" s="60"/>
      <c r="AJ1022" s="60"/>
    </row>
    <row r="1023" spans="2:36" s="59" customFormat="1">
      <c r="B1023" s="203"/>
      <c r="C1023" s="186"/>
      <c r="D1023" s="186"/>
      <c r="E1023" s="186"/>
      <c r="F1023" s="186"/>
      <c r="G1023" s="186"/>
      <c r="H1023" s="186"/>
      <c r="I1023" s="186"/>
      <c r="J1023" s="186"/>
      <c r="K1023" s="186"/>
      <c r="L1023" s="370"/>
      <c r="M1023" s="370"/>
      <c r="N1023" s="370"/>
      <c r="O1023" s="370"/>
      <c r="P1023" s="370"/>
      <c r="Q1023" s="186"/>
      <c r="R1023" s="186"/>
      <c r="S1023" s="186"/>
      <c r="T1023" s="186"/>
      <c r="U1023" s="186"/>
      <c r="V1023" s="186"/>
      <c r="W1023" s="186"/>
      <c r="X1023" s="186"/>
      <c r="Y1023" s="186"/>
      <c r="Z1023" s="305"/>
      <c r="AA1023" s="60"/>
      <c r="AB1023" s="60"/>
      <c r="AC1023" s="60"/>
      <c r="AD1023" s="60"/>
      <c r="AE1023" s="60"/>
      <c r="AF1023" s="60"/>
      <c r="AG1023" s="60"/>
      <c r="AH1023" s="60"/>
      <c r="AI1023" s="60"/>
      <c r="AJ1023" s="60"/>
    </row>
    <row r="1024" spans="2:36" s="59" customFormat="1">
      <c r="B1024" s="203"/>
      <c r="C1024" s="186"/>
      <c r="D1024" s="186"/>
      <c r="E1024" s="186"/>
      <c r="F1024" s="186"/>
      <c r="G1024" s="186"/>
      <c r="H1024" s="186"/>
      <c r="I1024" s="186"/>
      <c r="J1024" s="186"/>
      <c r="K1024" s="186"/>
      <c r="L1024" s="370"/>
      <c r="M1024" s="370"/>
      <c r="N1024" s="370"/>
      <c r="O1024" s="370"/>
      <c r="P1024" s="370"/>
      <c r="Q1024" s="186"/>
      <c r="R1024" s="186"/>
      <c r="S1024" s="186"/>
      <c r="T1024" s="186"/>
      <c r="U1024" s="186"/>
      <c r="V1024" s="186"/>
      <c r="W1024" s="186"/>
      <c r="X1024" s="186"/>
      <c r="Y1024" s="186"/>
      <c r="Z1024" s="305"/>
      <c r="AA1024" s="60"/>
      <c r="AB1024" s="60"/>
      <c r="AC1024" s="60"/>
      <c r="AD1024" s="60"/>
      <c r="AE1024" s="60"/>
      <c r="AF1024" s="60"/>
      <c r="AG1024" s="60"/>
      <c r="AH1024" s="60"/>
      <c r="AI1024" s="60"/>
      <c r="AJ1024" s="60"/>
    </row>
    <row r="1025" spans="2:36" s="59" customFormat="1">
      <c r="B1025" s="203"/>
      <c r="C1025" s="186"/>
      <c r="D1025" s="186"/>
      <c r="E1025" s="186"/>
      <c r="F1025" s="186"/>
      <c r="G1025" s="186"/>
      <c r="H1025" s="186"/>
      <c r="I1025" s="186"/>
      <c r="J1025" s="186"/>
      <c r="K1025" s="186"/>
      <c r="L1025" s="370"/>
      <c r="M1025" s="370"/>
      <c r="N1025" s="370"/>
      <c r="O1025" s="370"/>
      <c r="P1025" s="370"/>
      <c r="Q1025" s="186"/>
      <c r="R1025" s="186"/>
      <c r="S1025" s="186"/>
      <c r="T1025" s="186"/>
      <c r="U1025" s="186"/>
      <c r="V1025" s="186"/>
      <c r="W1025" s="186"/>
      <c r="X1025" s="186"/>
      <c r="Y1025" s="186"/>
      <c r="Z1025" s="305"/>
      <c r="AA1025" s="60"/>
      <c r="AB1025" s="60"/>
      <c r="AC1025" s="60"/>
      <c r="AD1025" s="60"/>
      <c r="AE1025" s="60"/>
      <c r="AF1025" s="60"/>
      <c r="AG1025" s="60"/>
      <c r="AH1025" s="60"/>
      <c r="AI1025" s="60"/>
      <c r="AJ1025" s="60"/>
    </row>
    <row r="1026" spans="2:36" s="59" customFormat="1">
      <c r="B1026" s="203"/>
      <c r="C1026" s="186"/>
      <c r="D1026" s="186"/>
      <c r="E1026" s="186"/>
      <c r="F1026" s="186"/>
      <c r="G1026" s="186"/>
      <c r="H1026" s="186"/>
      <c r="I1026" s="186"/>
      <c r="J1026" s="186"/>
      <c r="K1026" s="186"/>
      <c r="L1026" s="370"/>
      <c r="M1026" s="370"/>
      <c r="N1026" s="370"/>
      <c r="O1026" s="370"/>
      <c r="P1026" s="370"/>
      <c r="Q1026" s="186"/>
      <c r="R1026" s="186"/>
      <c r="S1026" s="186"/>
      <c r="T1026" s="186"/>
      <c r="U1026" s="186"/>
      <c r="V1026" s="186"/>
      <c r="W1026" s="186"/>
      <c r="X1026" s="186"/>
      <c r="Y1026" s="186"/>
      <c r="Z1026" s="305"/>
      <c r="AA1026" s="60"/>
      <c r="AB1026" s="60"/>
      <c r="AC1026" s="60"/>
      <c r="AD1026" s="60"/>
      <c r="AE1026" s="60"/>
      <c r="AF1026" s="60"/>
      <c r="AG1026" s="60"/>
      <c r="AH1026" s="60"/>
      <c r="AI1026" s="60"/>
      <c r="AJ1026" s="60"/>
    </row>
    <row r="1027" spans="2:36" s="59" customFormat="1">
      <c r="B1027" s="203"/>
      <c r="C1027" s="186"/>
      <c r="D1027" s="186"/>
      <c r="E1027" s="186"/>
      <c r="F1027" s="186"/>
      <c r="G1027" s="186"/>
      <c r="H1027" s="186"/>
      <c r="I1027" s="186"/>
      <c r="J1027" s="186"/>
      <c r="K1027" s="186"/>
      <c r="L1027" s="370"/>
      <c r="M1027" s="370"/>
      <c r="N1027" s="370"/>
      <c r="O1027" s="370"/>
      <c r="P1027" s="370"/>
      <c r="Q1027" s="186"/>
      <c r="R1027" s="186"/>
      <c r="S1027" s="186"/>
      <c r="T1027" s="186"/>
      <c r="U1027" s="186"/>
      <c r="V1027" s="186"/>
      <c r="W1027" s="186"/>
      <c r="X1027" s="186"/>
      <c r="Y1027" s="186"/>
      <c r="Z1027" s="305"/>
      <c r="AA1027" s="60"/>
      <c r="AB1027" s="60"/>
      <c r="AC1027" s="60"/>
      <c r="AD1027" s="60"/>
      <c r="AE1027" s="60"/>
      <c r="AF1027" s="60"/>
      <c r="AG1027" s="60"/>
      <c r="AH1027" s="60"/>
      <c r="AI1027" s="60"/>
      <c r="AJ1027" s="60"/>
    </row>
    <row r="1028" spans="2:36" s="59" customFormat="1">
      <c r="B1028" s="203"/>
      <c r="C1028" s="186"/>
      <c r="D1028" s="186"/>
      <c r="E1028" s="186"/>
      <c r="F1028" s="186"/>
      <c r="G1028" s="186"/>
      <c r="H1028" s="186"/>
      <c r="I1028" s="186"/>
      <c r="J1028" s="186"/>
      <c r="K1028" s="186"/>
      <c r="L1028" s="370"/>
      <c r="M1028" s="370"/>
      <c r="N1028" s="370"/>
      <c r="O1028" s="370"/>
      <c r="P1028" s="370"/>
      <c r="Q1028" s="186"/>
      <c r="R1028" s="186"/>
      <c r="S1028" s="186"/>
      <c r="T1028" s="186"/>
      <c r="U1028" s="186"/>
      <c r="V1028" s="186"/>
      <c r="W1028" s="186"/>
      <c r="X1028" s="186"/>
      <c r="Y1028" s="186"/>
      <c r="Z1028" s="305"/>
      <c r="AA1028" s="60"/>
      <c r="AB1028" s="60"/>
      <c r="AC1028" s="60"/>
      <c r="AD1028" s="60"/>
      <c r="AE1028" s="60"/>
      <c r="AF1028" s="60"/>
      <c r="AG1028" s="60"/>
      <c r="AH1028" s="60"/>
      <c r="AI1028" s="60"/>
      <c r="AJ1028" s="60"/>
    </row>
    <row r="1029" spans="2:36" s="59" customFormat="1">
      <c r="B1029" s="203"/>
      <c r="C1029" s="186"/>
      <c r="D1029" s="186"/>
      <c r="E1029" s="186"/>
      <c r="F1029" s="186"/>
      <c r="G1029" s="186"/>
      <c r="H1029" s="186"/>
      <c r="I1029" s="186"/>
      <c r="J1029" s="186"/>
      <c r="K1029" s="186"/>
      <c r="L1029" s="370"/>
      <c r="M1029" s="370"/>
      <c r="N1029" s="370"/>
      <c r="O1029" s="370"/>
      <c r="P1029" s="370"/>
      <c r="Q1029" s="186"/>
      <c r="R1029" s="186"/>
      <c r="S1029" s="186"/>
      <c r="T1029" s="186"/>
      <c r="U1029" s="186"/>
      <c r="V1029" s="186"/>
      <c r="W1029" s="186"/>
      <c r="X1029" s="186"/>
      <c r="Y1029" s="186"/>
      <c r="Z1029" s="305"/>
      <c r="AA1029" s="60"/>
      <c r="AB1029" s="60"/>
      <c r="AC1029" s="60"/>
      <c r="AD1029" s="60"/>
      <c r="AE1029" s="60"/>
      <c r="AF1029" s="60"/>
      <c r="AG1029" s="60"/>
      <c r="AH1029" s="60"/>
      <c r="AI1029" s="60"/>
      <c r="AJ1029" s="60"/>
    </row>
    <row r="1030" spans="2:36" s="59" customFormat="1">
      <c r="B1030" s="203"/>
      <c r="C1030" s="186"/>
      <c r="D1030" s="186"/>
      <c r="E1030" s="186"/>
      <c r="F1030" s="186"/>
      <c r="G1030" s="186"/>
      <c r="H1030" s="186"/>
      <c r="I1030" s="186"/>
      <c r="J1030" s="186"/>
      <c r="K1030" s="186"/>
      <c r="L1030" s="370"/>
      <c r="M1030" s="370"/>
      <c r="N1030" s="370"/>
      <c r="O1030" s="370"/>
      <c r="P1030" s="370"/>
      <c r="Q1030" s="186"/>
      <c r="R1030" s="186"/>
      <c r="S1030" s="186"/>
      <c r="T1030" s="186"/>
      <c r="U1030" s="186"/>
      <c r="V1030" s="186"/>
      <c r="W1030" s="186"/>
      <c r="X1030" s="186"/>
      <c r="Y1030" s="186"/>
      <c r="Z1030" s="305"/>
      <c r="AA1030" s="60"/>
      <c r="AB1030" s="60"/>
      <c r="AC1030" s="60"/>
      <c r="AD1030" s="60"/>
      <c r="AE1030" s="60"/>
      <c r="AF1030" s="60"/>
      <c r="AG1030" s="60"/>
      <c r="AH1030" s="60"/>
      <c r="AI1030" s="60"/>
      <c r="AJ1030" s="60"/>
    </row>
    <row r="1031" spans="2:36" s="59" customFormat="1">
      <c r="B1031" s="203"/>
      <c r="C1031" s="186"/>
      <c r="D1031" s="186"/>
      <c r="E1031" s="186"/>
      <c r="F1031" s="186"/>
      <c r="G1031" s="186"/>
      <c r="H1031" s="186"/>
      <c r="I1031" s="186"/>
      <c r="J1031" s="186"/>
      <c r="K1031" s="186"/>
      <c r="L1031" s="370"/>
      <c r="M1031" s="370"/>
      <c r="N1031" s="370"/>
      <c r="O1031" s="370"/>
      <c r="P1031" s="370"/>
      <c r="Q1031" s="186"/>
      <c r="R1031" s="186"/>
      <c r="S1031" s="186"/>
      <c r="T1031" s="186"/>
      <c r="U1031" s="186"/>
      <c r="V1031" s="186"/>
      <c r="W1031" s="186"/>
      <c r="X1031" s="186"/>
      <c r="Y1031" s="186"/>
      <c r="Z1031" s="305"/>
      <c r="AA1031" s="60"/>
      <c r="AB1031" s="60"/>
      <c r="AC1031" s="60"/>
      <c r="AD1031" s="60"/>
      <c r="AE1031" s="60"/>
      <c r="AF1031" s="60"/>
      <c r="AG1031" s="60"/>
      <c r="AH1031" s="60"/>
      <c r="AI1031" s="60"/>
      <c r="AJ1031" s="60"/>
    </row>
    <row r="1032" spans="2:36" s="59" customFormat="1">
      <c r="B1032" s="203"/>
      <c r="C1032" s="186"/>
      <c r="D1032" s="186"/>
      <c r="E1032" s="186"/>
      <c r="F1032" s="186"/>
      <c r="G1032" s="186"/>
      <c r="H1032" s="186"/>
      <c r="I1032" s="186"/>
      <c r="J1032" s="186"/>
      <c r="K1032" s="186"/>
      <c r="L1032" s="370"/>
      <c r="M1032" s="370"/>
      <c r="N1032" s="370"/>
      <c r="O1032" s="370"/>
      <c r="P1032" s="370"/>
      <c r="Q1032" s="186"/>
      <c r="R1032" s="186"/>
      <c r="S1032" s="186"/>
      <c r="T1032" s="186"/>
      <c r="U1032" s="186"/>
      <c r="V1032" s="186"/>
      <c r="W1032" s="186"/>
      <c r="X1032" s="186"/>
      <c r="Y1032" s="186"/>
      <c r="Z1032" s="305"/>
      <c r="AA1032" s="60"/>
      <c r="AB1032" s="60"/>
      <c r="AC1032" s="60"/>
      <c r="AD1032" s="60"/>
      <c r="AE1032" s="60"/>
      <c r="AF1032" s="60"/>
      <c r="AG1032" s="60"/>
      <c r="AH1032" s="60"/>
      <c r="AI1032" s="60"/>
      <c r="AJ1032" s="60"/>
    </row>
    <row r="1033" spans="2:36" s="59" customFormat="1">
      <c r="B1033" s="203"/>
      <c r="C1033" s="186"/>
      <c r="D1033" s="186"/>
      <c r="E1033" s="186"/>
      <c r="F1033" s="186"/>
      <c r="G1033" s="186"/>
      <c r="H1033" s="186"/>
      <c r="I1033" s="186"/>
      <c r="J1033" s="186"/>
      <c r="K1033" s="186"/>
      <c r="L1033" s="370"/>
      <c r="M1033" s="370"/>
      <c r="N1033" s="370"/>
      <c r="O1033" s="370"/>
      <c r="P1033" s="370"/>
      <c r="Q1033" s="186"/>
      <c r="R1033" s="186"/>
      <c r="S1033" s="186"/>
      <c r="T1033" s="186"/>
      <c r="U1033" s="186"/>
      <c r="V1033" s="186"/>
      <c r="W1033" s="186"/>
      <c r="X1033" s="186"/>
      <c r="Y1033" s="186"/>
      <c r="Z1033" s="305"/>
      <c r="AA1033" s="60"/>
      <c r="AB1033" s="60"/>
      <c r="AC1033" s="60"/>
      <c r="AD1033" s="60"/>
      <c r="AE1033" s="60"/>
      <c r="AF1033" s="60"/>
      <c r="AG1033" s="60"/>
      <c r="AH1033" s="60"/>
      <c r="AI1033" s="60"/>
      <c r="AJ1033" s="60"/>
    </row>
    <row r="1034" spans="2:36" s="59" customFormat="1">
      <c r="B1034" s="203"/>
      <c r="C1034" s="186"/>
      <c r="D1034" s="186"/>
      <c r="E1034" s="186"/>
      <c r="F1034" s="186"/>
      <c r="G1034" s="186"/>
      <c r="H1034" s="186"/>
      <c r="I1034" s="186"/>
      <c r="J1034" s="186"/>
      <c r="K1034" s="186"/>
      <c r="L1034" s="370"/>
      <c r="M1034" s="370"/>
      <c r="N1034" s="370"/>
      <c r="O1034" s="370"/>
      <c r="P1034" s="370"/>
      <c r="Q1034" s="186"/>
      <c r="R1034" s="186"/>
      <c r="S1034" s="186"/>
      <c r="T1034" s="186"/>
      <c r="U1034" s="186"/>
      <c r="V1034" s="186"/>
      <c r="W1034" s="186"/>
      <c r="X1034" s="186"/>
      <c r="Y1034" s="186"/>
      <c r="Z1034" s="305"/>
      <c r="AA1034" s="60"/>
      <c r="AB1034" s="60"/>
      <c r="AC1034" s="60"/>
      <c r="AD1034" s="60"/>
      <c r="AE1034" s="60"/>
      <c r="AF1034" s="60"/>
      <c r="AG1034" s="60"/>
      <c r="AH1034" s="60"/>
      <c r="AI1034" s="60"/>
      <c r="AJ1034" s="60"/>
    </row>
    <row r="1035" spans="2:36" s="59" customFormat="1">
      <c r="B1035" s="203"/>
      <c r="C1035" s="186"/>
      <c r="D1035" s="186"/>
      <c r="E1035" s="186"/>
      <c r="F1035" s="186"/>
      <c r="G1035" s="186"/>
      <c r="H1035" s="186"/>
      <c r="I1035" s="186"/>
      <c r="J1035" s="186"/>
      <c r="K1035" s="186"/>
      <c r="L1035" s="370"/>
      <c r="M1035" s="370"/>
      <c r="N1035" s="370"/>
      <c r="O1035" s="370"/>
      <c r="P1035" s="370"/>
      <c r="Q1035" s="186"/>
      <c r="R1035" s="186"/>
      <c r="S1035" s="186"/>
      <c r="T1035" s="186"/>
      <c r="U1035" s="186"/>
      <c r="V1035" s="186"/>
      <c r="W1035" s="186"/>
      <c r="X1035" s="186"/>
      <c r="Y1035" s="186"/>
      <c r="Z1035" s="305"/>
      <c r="AA1035" s="60"/>
      <c r="AB1035" s="60"/>
      <c r="AC1035" s="60"/>
      <c r="AD1035" s="60"/>
      <c r="AE1035" s="60"/>
      <c r="AF1035" s="60"/>
      <c r="AG1035" s="60"/>
      <c r="AH1035" s="60"/>
      <c r="AI1035" s="60"/>
      <c r="AJ1035" s="60"/>
    </row>
    <row r="1036" spans="2:36" s="59" customFormat="1">
      <c r="B1036" s="203"/>
      <c r="C1036" s="186"/>
      <c r="D1036" s="186"/>
      <c r="E1036" s="186"/>
      <c r="F1036" s="186"/>
      <c r="G1036" s="186"/>
      <c r="H1036" s="186"/>
      <c r="I1036" s="186"/>
      <c r="J1036" s="186"/>
      <c r="K1036" s="186"/>
      <c r="L1036" s="370"/>
      <c r="M1036" s="370"/>
      <c r="N1036" s="370"/>
      <c r="O1036" s="370"/>
      <c r="P1036" s="370"/>
      <c r="Q1036" s="186"/>
      <c r="R1036" s="186"/>
      <c r="S1036" s="186"/>
      <c r="T1036" s="186"/>
      <c r="U1036" s="186"/>
      <c r="V1036" s="186"/>
      <c r="W1036" s="186"/>
      <c r="X1036" s="186"/>
      <c r="Y1036" s="186"/>
      <c r="Z1036" s="305"/>
      <c r="AA1036" s="60"/>
      <c r="AB1036" s="60"/>
      <c r="AC1036" s="60"/>
      <c r="AD1036" s="60"/>
      <c r="AE1036" s="60"/>
      <c r="AF1036" s="60"/>
      <c r="AG1036" s="60"/>
      <c r="AH1036" s="60"/>
      <c r="AI1036" s="60"/>
      <c r="AJ1036" s="60"/>
    </row>
    <row r="1037" spans="2:36" s="59" customFormat="1">
      <c r="B1037" s="203"/>
      <c r="C1037" s="186"/>
      <c r="D1037" s="186"/>
      <c r="E1037" s="186"/>
      <c r="F1037" s="186"/>
      <c r="G1037" s="186"/>
      <c r="H1037" s="186"/>
      <c r="I1037" s="186"/>
      <c r="J1037" s="186"/>
      <c r="K1037" s="186"/>
      <c r="L1037" s="370"/>
      <c r="M1037" s="370"/>
      <c r="N1037" s="370"/>
      <c r="O1037" s="370"/>
      <c r="P1037" s="370"/>
      <c r="Q1037" s="186"/>
      <c r="R1037" s="186"/>
      <c r="S1037" s="186"/>
      <c r="T1037" s="186"/>
      <c r="U1037" s="186"/>
      <c r="V1037" s="186"/>
      <c r="W1037" s="186"/>
      <c r="X1037" s="186"/>
      <c r="Y1037" s="186"/>
      <c r="Z1037" s="305"/>
      <c r="AA1037" s="60"/>
      <c r="AB1037" s="60"/>
      <c r="AC1037" s="60"/>
      <c r="AD1037" s="60"/>
      <c r="AE1037" s="60"/>
      <c r="AF1037" s="60"/>
      <c r="AG1037" s="60"/>
      <c r="AH1037" s="60"/>
      <c r="AI1037" s="60"/>
      <c r="AJ1037" s="60"/>
    </row>
    <row r="1038" spans="2:36" s="59" customFormat="1">
      <c r="B1038" s="203"/>
      <c r="C1038" s="186"/>
      <c r="D1038" s="186"/>
      <c r="E1038" s="186"/>
      <c r="F1038" s="186"/>
      <c r="G1038" s="186"/>
      <c r="H1038" s="186"/>
      <c r="I1038" s="186"/>
      <c r="J1038" s="186"/>
      <c r="K1038" s="186"/>
      <c r="L1038" s="370"/>
      <c r="M1038" s="370"/>
      <c r="N1038" s="370"/>
      <c r="O1038" s="370"/>
      <c r="P1038" s="370"/>
      <c r="Q1038" s="186"/>
      <c r="R1038" s="186"/>
      <c r="S1038" s="186"/>
      <c r="T1038" s="186"/>
      <c r="U1038" s="186"/>
      <c r="V1038" s="186"/>
      <c r="W1038" s="186"/>
      <c r="X1038" s="186"/>
      <c r="Y1038" s="186"/>
      <c r="Z1038" s="305"/>
      <c r="AA1038" s="60"/>
      <c r="AB1038" s="60"/>
      <c r="AC1038" s="60"/>
      <c r="AD1038" s="60"/>
      <c r="AE1038" s="60"/>
      <c r="AF1038" s="60"/>
      <c r="AG1038" s="60"/>
      <c r="AH1038" s="60"/>
      <c r="AI1038" s="60"/>
      <c r="AJ1038" s="60"/>
    </row>
    <row r="1039" spans="2:36" s="59" customFormat="1">
      <c r="B1039" s="203"/>
      <c r="C1039" s="186"/>
      <c r="D1039" s="186"/>
      <c r="E1039" s="186"/>
      <c r="F1039" s="186"/>
      <c r="G1039" s="186"/>
      <c r="H1039" s="186"/>
      <c r="I1039" s="186"/>
      <c r="J1039" s="186"/>
      <c r="K1039" s="186"/>
      <c r="L1039" s="370"/>
      <c r="M1039" s="370"/>
      <c r="N1039" s="370"/>
      <c r="O1039" s="370"/>
      <c r="P1039" s="370"/>
      <c r="Q1039" s="186"/>
      <c r="R1039" s="186"/>
      <c r="S1039" s="186"/>
      <c r="T1039" s="186"/>
      <c r="U1039" s="186"/>
      <c r="V1039" s="186"/>
      <c r="W1039" s="186"/>
      <c r="X1039" s="186"/>
      <c r="Y1039" s="186"/>
      <c r="Z1039" s="305"/>
      <c r="AA1039" s="60"/>
      <c r="AB1039" s="60"/>
      <c r="AC1039" s="60"/>
      <c r="AD1039" s="60"/>
      <c r="AE1039" s="60"/>
      <c r="AF1039" s="60"/>
      <c r="AG1039" s="60"/>
      <c r="AH1039" s="60"/>
      <c r="AI1039" s="60"/>
      <c r="AJ1039" s="60"/>
    </row>
    <row r="1040" spans="2:36" s="59" customFormat="1">
      <c r="B1040" s="203"/>
      <c r="C1040" s="186"/>
      <c r="D1040" s="186"/>
      <c r="E1040" s="186"/>
      <c r="F1040" s="186"/>
      <c r="G1040" s="186"/>
      <c r="H1040" s="186"/>
      <c r="I1040" s="186"/>
      <c r="J1040" s="186"/>
      <c r="K1040" s="186"/>
      <c r="L1040" s="370"/>
      <c r="M1040" s="370"/>
      <c r="N1040" s="370"/>
      <c r="O1040" s="370"/>
      <c r="P1040" s="370"/>
      <c r="Q1040" s="186"/>
      <c r="R1040" s="186"/>
      <c r="S1040" s="186"/>
      <c r="T1040" s="186"/>
      <c r="U1040" s="186"/>
      <c r="V1040" s="186"/>
      <c r="W1040" s="186"/>
      <c r="X1040" s="186"/>
      <c r="Y1040" s="186"/>
      <c r="Z1040" s="305"/>
      <c r="AA1040" s="60"/>
      <c r="AB1040" s="60"/>
      <c r="AC1040" s="60"/>
      <c r="AD1040" s="60"/>
      <c r="AE1040" s="60"/>
      <c r="AF1040" s="60"/>
      <c r="AG1040" s="60"/>
      <c r="AH1040" s="60"/>
      <c r="AI1040" s="60"/>
      <c r="AJ1040" s="60"/>
    </row>
    <row r="1041" spans="2:36" s="59" customFormat="1">
      <c r="B1041" s="203"/>
      <c r="C1041" s="186"/>
      <c r="D1041" s="186"/>
      <c r="E1041" s="186"/>
      <c r="F1041" s="186"/>
      <c r="G1041" s="186"/>
      <c r="H1041" s="186"/>
      <c r="I1041" s="186"/>
      <c r="J1041" s="186"/>
      <c r="K1041" s="186"/>
      <c r="L1041" s="370"/>
      <c r="M1041" s="370"/>
      <c r="N1041" s="370"/>
      <c r="O1041" s="370"/>
      <c r="P1041" s="370"/>
      <c r="Q1041" s="186"/>
      <c r="R1041" s="186"/>
      <c r="S1041" s="186"/>
      <c r="T1041" s="186"/>
      <c r="U1041" s="186"/>
      <c r="V1041" s="186"/>
      <c r="W1041" s="186"/>
      <c r="X1041" s="186"/>
      <c r="Y1041" s="186"/>
      <c r="Z1041" s="305"/>
      <c r="AA1041" s="60"/>
      <c r="AB1041" s="60"/>
      <c r="AC1041" s="60"/>
      <c r="AD1041" s="60"/>
      <c r="AE1041" s="60"/>
      <c r="AF1041" s="60"/>
      <c r="AG1041" s="60"/>
      <c r="AH1041" s="60"/>
      <c r="AI1041" s="60"/>
      <c r="AJ1041" s="60"/>
    </row>
    <row r="1042" spans="2:36" s="59" customFormat="1">
      <c r="B1042" s="203"/>
      <c r="C1042" s="186"/>
      <c r="D1042" s="186"/>
      <c r="E1042" s="186"/>
      <c r="F1042" s="186"/>
      <c r="G1042" s="186"/>
      <c r="H1042" s="186"/>
      <c r="I1042" s="186"/>
      <c r="J1042" s="186"/>
      <c r="K1042" s="186"/>
      <c r="L1042" s="370"/>
      <c r="M1042" s="370"/>
      <c r="N1042" s="370"/>
      <c r="O1042" s="370"/>
      <c r="P1042" s="370"/>
      <c r="Q1042" s="186"/>
      <c r="R1042" s="186"/>
      <c r="S1042" s="186"/>
      <c r="T1042" s="186"/>
      <c r="U1042" s="186"/>
      <c r="V1042" s="186"/>
      <c r="W1042" s="186"/>
      <c r="X1042" s="186"/>
      <c r="Y1042" s="186"/>
      <c r="Z1042" s="305"/>
      <c r="AA1042" s="60"/>
      <c r="AB1042" s="60"/>
      <c r="AC1042" s="60"/>
      <c r="AD1042" s="60"/>
      <c r="AE1042" s="60"/>
      <c r="AF1042" s="60"/>
      <c r="AG1042" s="60"/>
      <c r="AH1042" s="60"/>
      <c r="AI1042" s="60"/>
      <c r="AJ1042" s="60"/>
    </row>
    <row r="1043" spans="2:36" s="59" customFormat="1">
      <c r="B1043" s="203"/>
      <c r="C1043" s="186"/>
      <c r="D1043" s="186"/>
      <c r="E1043" s="186"/>
      <c r="F1043" s="186"/>
      <c r="G1043" s="186"/>
      <c r="H1043" s="186"/>
      <c r="I1043" s="186"/>
      <c r="J1043" s="186"/>
      <c r="K1043" s="186"/>
      <c r="L1043" s="370"/>
      <c r="M1043" s="370"/>
      <c r="N1043" s="370"/>
      <c r="O1043" s="370"/>
      <c r="P1043" s="370"/>
      <c r="Q1043" s="186"/>
      <c r="R1043" s="186"/>
      <c r="S1043" s="186"/>
      <c r="T1043" s="186"/>
      <c r="U1043" s="186"/>
      <c r="V1043" s="186"/>
      <c r="W1043" s="186"/>
      <c r="X1043" s="186"/>
      <c r="Y1043" s="186"/>
      <c r="Z1043" s="305"/>
      <c r="AA1043" s="60"/>
      <c r="AB1043" s="60"/>
      <c r="AC1043" s="60"/>
      <c r="AD1043" s="60"/>
      <c r="AE1043" s="60"/>
      <c r="AF1043" s="60"/>
      <c r="AG1043" s="60"/>
      <c r="AH1043" s="60"/>
      <c r="AI1043" s="60"/>
      <c r="AJ1043" s="60"/>
    </row>
    <row r="1044" spans="2:36" s="59" customFormat="1">
      <c r="B1044" s="203"/>
      <c r="C1044" s="186"/>
      <c r="D1044" s="186"/>
      <c r="E1044" s="186"/>
      <c r="F1044" s="186"/>
      <c r="G1044" s="186"/>
      <c r="H1044" s="186"/>
      <c r="I1044" s="186"/>
      <c r="J1044" s="186"/>
      <c r="K1044" s="186"/>
      <c r="L1044" s="370"/>
      <c r="M1044" s="370"/>
      <c r="N1044" s="370"/>
      <c r="O1044" s="370"/>
      <c r="P1044" s="370"/>
      <c r="Q1044" s="186"/>
      <c r="R1044" s="186"/>
      <c r="S1044" s="186"/>
      <c r="T1044" s="186"/>
      <c r="U1044" s="186"/>
      <c r="V1044" s="186"/>
      <c r="W1044" s="186"/>
      <c r="X1044" s="186"/>
      <c r="Y1044" s="186"/>
      <c r="Z1044" s="305"/>
      <c r="AA1044" s="60"/>
      <c r="AB1044" s="60"/>
      <c r="AC1044" s="60"/>
      <c r="AD1044" s="60"/>
      <c r="AE1044" s="60"/>
      <c r="AF1044" s="60"/>
      <c r="AG1044" s="60"/>
      <c r="AH1044" s="60"/>
      <c r="AI1044" s="60"/>
      <c r="AJ1044" s="60"/>
    </row>
    <row r="1045" spans="2:36" s="59" customFormat="1">
      <c r="B1045" s="203"/>
      <c r="C1045" s="186"/>
      <c r="D1045" s="186"/>
      <c r="E1045" s="186"/>
      <c r="F1045" s="186"/>
      <c r="G1045" s="186"/>
      <c r="H1045" s="186"/>
      <c r="I1045" s="186"/>
      <c r="J1045" s="186"/>
      <c r="K1045" s="186"/>
      <c r="L1045" s="370"/>
      <c r="M1045" s="370"/>
      <c r="N1045" s="370"/>
      <c r="O1045" s="370"/>
      <c r="P1045" s="370"/>
      <c r="Q1045" s="186"/>
      <c r="R1045" s="186"/>
      <c r="S1045" s="186"/>
      <c r="T1045" s="186"/>
      <c r="U1045" s="186"/>
      <c r="V1045" s="186"/>
      <c r="W1045" s="186"/>
      <c r="X1045" s="186"/>
      <c r="Y1045" s="186"/>
      <c r="Z1045" s="305"/>
      <c r="AA1045" s="60"/>
      <c r="AB1045" s="60"/>
      <c r="AC1045" s="60"/>
      <c r="AD1045" s="60"/>
      <c r="AE1045" s="60"/>
      <c r="AF1045" s="60"/>
      <c r="AG1045" s="60"/>
      <c r="AH1045" s="60"/>
      <c r="AI1045" s="60"/>
      <c r="AJ1045" s="60"/>
    </row>
    <row r="1046" spans="2:36" s="59" customFormat="1">
      <c r="B1046" s="203"/>
      <c r="C1046" s="186"/>
      <c r="D1046" s="186"/>
      <c r="E1046" s="186"/>
      <c r="F1046" s="186"/>
      <c r="G1046" s="186"/>
      <c r="H1046" s="186"/>
      <c r="I1046" s="186"/>
      <c r="J1046" s="186"/>
      <c r="K1046" s="186"/>
      <c r="L1046" s="370"/>
      <c r="M1046" s="370"/>
      <c r="N1046" s="370"/>
      <c r="O1046" s="370"/>
      <c r="P1046" s="370"/>
      <c r="Q1046" s="186"/>
      <c r="R1046" s="186"/>
      <c r="S1046" s="186"/>
      <c r="T1046" s="186"/>
      <c r="U1046" s="186"/>
      <c r="V1046" s="186"/>
      <c r="W1046" s="186"/>
      <c r="X1046" s="186"/>
      <c r="Y1046" s="186"/>
      <c r="Z1046" s="305"/>
      <c r="AA1046" s="60"/>
      <c r="AB1046" s="60"/>
      <c r="AC1046" s="60"/>
      <c r="AD1046" s="60"/>
      <c r="AE1046" s="60"/>
      <c r="AF1046" s="60"/>
      <c r="AG1046" s="60"/>
      <c r="AH1046" s="60"/>
      <c r="AI1046" s="60"/>
      <c r="AJ1046" s="60"/>
    </row>
    <row r="1047" spans="2:36" s="59" customFormat="1">
      <c r="B1047" s="203"/>
      <c r="C1047" s="186"/>
      <c r="D1047" s="186"/>
      <c r="E1047" s="186"/>
      <c r="F1047" s="186"/>
      <c r="G1047" s="186"/>
      <c r="H1047" s="186"/>
      <c r="I1047" s="186"/>
      <c r="J1047" s="186"/>
      <c r="K1047" s="186"/>
      <c r="L1047" s="370"/>
      <c r="M1047" s="370"/>
      <c r="N1047" s="370"/>
      <c r="O1047" s="370"/>
      <c r="P1047" s="370"/>
      <c r="Q1047" s="186"/>
      <c r="R1047" s="186"/>
      <c r="S1047" s="186"/>
      <c r="T1047" s="186"/>
      <c r="U1047" s="186"/>
      <c r="V1047" s="186"/>
      <c r="W1047" s="186"/>
      <c r="X1047" s="186"/>
      <c r="Y1047" s="186"/>
      <c r="Z1047" s="305"/>
      <c r="AA1047" s="60"/>
      <c r="AB1047" s="60"/>
      <c r="AC1047" s="60"/>
      <c r="AD1047" s="60"/>
      <c r="AE1047" s="60"/>
      <c r="AF1047" s="60"/>
      <c r="AG1047" s="60"/>
      <c r="AH1047" s="60"/>
      <c r="AI1047" s="60"/>
      <c r="AJ1047" s="60"/>
    </row>
    <row r="1048" spans="2:36" s="59" customFormat="1">
      <c r="B1048" s="203"/>
      <c r="C1048" s="186"/>
      <c r="D1048" s="186"/>
      <c r="E1048" s="186"/>
      <c r="F1048" s="186"/>
      <c r="G1048" s="186"/>
      <c r="H1048" s="186"/>
      <c r="I1048" s="186"/>
      <c r="J1048" s="186"/>
      <c r="K1048" s="186"/>
      <c r="L1048" s="370"/>
      <c r="M1048" s="370"/>
      <c r="N1048" s="370"/>
      <c r="O1048" s="370"/>
      <c r="P1048" s="370"/>
      <c r="Q1048" s="186"/>
      <c r="R1048" s="186"/>
      <c r="S1048" s="186"/>
      <c r="T1048" s="186"/>
      <c r="U1048" s="186"/>
      <c r="V1048" s="186"/>
      <c r="W1048" s="186"/>
      <c r="X1048" s="186"/>
      <c r="Y1048" s="186"/>
      <c r="Z1048" s="305"/>
      <c r="AA1048" s="60"/>
      <c r="AB1048" s="60"/>
      <c r="AC1048" s="60"/>
      <c r="AD1048" s="60"/>
      <c r="AE1048" s="60"/>
      <c r="AF1048" s="60"/>
      <c r="AG1048" s="60"/>
      <c r="AH1048" s="60"/>
      <c r="AI1048" s="60"/>
      <c r="AJ1048" s="60"/>
    </row>
    <row r="1049" spans="2:36" s="59" customFormat="1">
      <c r="B1049" s="203"/>
      <c r="C1049" s="186"/>
      <c r="D1049" s="186"/>
      <c r="E1049" s="186"/>
      <c r="F1049" s="186"/>
      <c r="G1049" s="186"/>
      <c r="H1049" s="186"/>
      <c r="I1049" s="186"/>
      <c r="J1049" s="186"/>
      <c r="K1049" s="186"/>
      <c r="L1049" s="370"/>
      <c r="M1049" s="370"/>
      <c r="N1049" s="370"/>
      <c r="O1049" s="370"/>
      <c r="P1049" s="370"/>
      <c r="Q1049" s="186"/>
      <c r="R1049" s="186"/>
      <c r="S1049" s="186"/>
      <c r="T1049" s="186"/>
      <c r="U1049" s="186"/>
      <c r="V1049" s="186"/>
      <c r="W1049" s="186"/>
      <c r="X1049" s="186"/>
      <c r="Y1049" s="186"/>
      <c r="Z1049" s="305"/>
      <c r="AA1049" s="60"/>
      <c r="AB1049" s="60"/>
      <c r="AC1049" s="60"/>
      <c r="AD1049" s="60"/>
      <c r="AE1049" s="60"/>
      <c r="AF1049" s="60"/>
      <c r="AG1049" s="60"/>
      <c r="AH1049" s="60"/>
      <c r="AI1049" s="60"/>
      <c r="AJ1049" s="60"/>
    </row>
    <row r="1050" spans="2:36" s="59" customFormat="1">
      <c r="B1050" s="203"/>
      <c r="C1050" s="186"/>
      <c r="D1050" s="186"/>
      <c r="E1050" s="186"/>
      <c r="F1050" s="186"/>
      <c r="G1050" s="186"/>
      <c r="H1050" s="186"/>
      <c r="I1050" s="186"/>
      <c r="J1050" s="186"/>
      <c r="K1050" s="186"/>
      <c r="L1050" s="370"/>
      <c r="M1050" s="370"/>
      <c r="N1050" s="370"/>
      <c r="O1050" s="370"/>
      <c r="P1050" s="370"/>
      <c r="Q1050" s="186"/>
      <c r="R1050" s="186"/>
      <c r="S1050" s="186"/>
      <c r="T1050" s="186"/>
      <c r="U1050" s="186"/>
      <c r="V1050" s="186"/>
      <c r="W1050" s="186"/>
      <c r="X1050" s="186"/>
      <c r="Y1050" s="186"/>
      <c r="Z1050" s="305"/>
      <c r="AA1050" s="60"/>
      <c r="AB1050" s="60"/>
      <c r="AC1050" s="60"/>
      <c r="AD1050" s="60"/>
      <c r="AE1050" s="60"/>
      <c r="AF1050" s="60"/>
      <c r="AG1050" s="60"/>
      <c r="AH1050" s="60"/>
      <c r="AI1050" s="60"/>
      <c r="AJ1050" s="60"/>
    </row>
    <row r="1051" spans="2:36" s="59" customFormat="1">
      <c r="B1051" s="203"/>
      <c r="C1051" s="186"/>
      <c r="D1051" s="186"/>
      <c r="E1051" s="186"/>
      <c r="F1051" s="186"/>
      <c r="G1051" s="186"/>
      <c r="H1051" s="186"/>
      <c r="I1051" s="186"/>
      <c r="J1051" s="186"/>
      <c r="K1051" s="186"/>
      <c r="L1051" s="370"/>
      <c r="M1051" s="370"/>
      <c r="N1051" s="370"/>
      <c r="O1051" s="370"/>
      <c r="P1051" s="370"/>
      <c r="Q1051" s="186"/>
      <c r="R1051" s="186"/>
      <c r="S1051" s="186"/>
      <c r="T1051" s="186"/>
      <c r="U1051" s="186"/>
      <c r="V1051" s="186"/>
      <c r="W1051" s="186"/>
      <c r="X1051" s="186"/>
      <c r="Y1051" s="186"/>
      <c r="Z1051" s="305"/>
      <c r="AA1051" s="60"/>
      <c r="AB1051" s="60"/>
      <c r="AC1051" s="60"/>
      <c r="AD1051" s="60"/>
      <c r="AE1051" s="60"/>
      <c r="AF1051" s="60"/>
      <c r="AG1051" s="60"/>
      <c r="AH1051" s="60"/>
      <c r="AI1051" s="60"/>
      <c r="AJ1051" s="60"/>
    </row>
    <row r="1052" spans="2:36" s="59" customFormat="1">
      <c r="B1052" s="203"/>
      <c r="C1052" s="186"/>
      <c r="D1052" s="186"/>
      <c r="E1052" s="186"/>
      <c r="F1052" s="186"/>
      <c r="G1052" s="186"/>
      <c r="H1052" s="186"/>
      <c r="I1052" s="186"/>
      <c r="J1052" s="186"/>
      <c r="K1052" s="186"/>
      <c r="L1052" s="370"/>
      <c r="M1052" s="370"/>
      <c r="N1052" s="370"/>
      <c r="O1052" s="370"/>
      <c r="P1052" s="370"/>
      <c r="Q1052" s="186"/>
      <c r="R1052" s="186"/>
      <c r="S1052" s="186"/>
      <c r="T1052" s="186"/>
      <c r="U1052" s="186"/>
      <c r="V1052" s="186"/>
      <c r="W1052" s="186"/>
      <c r="X1052" s="186"/>
      <c r="Y1052" s="186"/>
      <c r="Z1052" s="305"/>
      <c r="AA1052" s="60"/>
      <c r="AB1052" s="60"/>
      <c r="AC1052" s="60"/>
      <c r="AD1052" s="60"/>
      <c r="AE1052" s="60"/>
      <c r="AF1052" s="60"/>
      <c r="AG1052" s="60"/>
      <c r="AH1052" s="60"/>
      <c r="AI1052" s="60"/>
      <c r="AJ1052" s="60"/>
    </row>
    <row r="1053" spans="2:36" s="59" customFormat="1">
      <c r="B1053" s="203"/>
      <c r="C1053" s="186"/>
      <c r="D1053" s="186"/>
      <c r="E1053" s="186"/>
      <c r="F1053" s="186"/>
      <c r="G1053" s="186"/>
      <c r="H1053" s="186"/>
      <c r="I1053" s="186"/>
      <c r="J1053" s="186"/>
      <c r="K1053" s="186"/>
      <c r="L1053" s="370"/>
      <c r="M1053" s="370"/>
      <c r="N1053" s="370"/>
      <c r="O1053" s="370"/>
      <c r="P1053" s="370"/>
      <c r="Q1053" s="186"/>
      <c r="R1053" s="186"/>
      <c r="S1053" s="186"/>
      <c r="T1053" s="186"/>
      <c r="U1053" s="186"/>
      <c r="V1053" s="186"/>
      <c r="W1053" s="186"/>
      <c r="X1053" s="186"/>
      <c r="Y1053" s="186"/>
      <c r="Z1053" s="305"/>
      <c r="AA1053" s="60"/>
      <c r="AB1053" s="60"/>
      <c r="AC1053" s="60"/>
      <c r="AD1053" s="60"/>
      <c r="AE1053" s="60"/>
      <c r="AF1053" s="60"/>
      <c r="AG1053" s="60"/>
      <c r="AH1053" s="60"/>
      <c r="AI1053" s="60"/>
      <c r="AJ1053" s="60"/>
    </row>
    <row r="1054" spans="2:36" s="59" customFormat="1">
      <c r="B1054" s="203"/>
      <c r="C1054" s="186"/>
      <c r="D1054" s="186"/>
      <c r="E1054" s="186"/>
      <c r="F1054" s="186"/>
      <c r="G1054" s="186"/>
      <c r="H1054" s="186"/>
      <c r="I1054" s="186"/>
      <c r="J1054" s="186"/>
      <c r="K1054" s="186"/>
      <c r="L1054" s="370"/>
      <c r="M1054" s="370"/>
      <c r="N1054" s="370"/>
      <c r="O1054" s="370"/>
      <c r="P1054" s="370"/>
      <c r="Q1054" s="186"/>
      <c r="R1054" s="186"/>
      <c r="S1054" s="186"/>
      <c r="T1054" s="186"/>
      <c r="U1054" s="186"/>
      <c r="V1054" s="186"/>
      <c r="W1054" s="186"/>
      <c r="X1054" s="186"/>
      <c r="Y1054" s="186"/>
      <c r="Z1054" s="305"/>
      <c r="AA1054" s="60"/>
      <c r="AB1054" s="60"/>
      <c r="AC1054" s="60"/>
      <c r="AD1054" s="60"/>
      <c r="AE1054" s="60"/>
      <c r="AF1054" s="60"/>
      <c r="AG1054" s="60"/>
      <c r="AH1054" s="60"/>
      <c r="AI1054" s="60"/>
      <c r="AJ1054" s="60"/>
    </row>
    <row r="1055" spans="2:36" s="59" customFormat="1">
      <c r="B1055" s="203"/>
      <c r="C1055" s="186"/>
      <c r="D1055" s="186"/>
      <c r="E1055" s="186"/>
      <c r="F1055" s="186"/>
      <c r="G1055" s="186"/>
      <c r="H1055" s="186"/>
      <c r="I1055" s="186"/>
      <c r="J1055" s="186"/>
      <c r="K1055" s="186"/>
      <c r="L1055" s="370"/>
      <c r="M1055" s="370"/>
      <c r="N1055" s="370"/>
      <c r="O1055" s="370"/>
      <c r="P1055" s="370"/>
      <c r="Q1055" s="186"/>
      <c r="R1055" s="186"/>
      <c r="S1055" s="186"/>
      <c r="T1055" s="186"/>
      <c r="U1055" s="186"/>
      <c r="V1055" s="186"/>
      <c r="W1055" s="186"/>
      <c r="X1055" s="186"/>
      <c r="Y1055" s="186"/>
      <c r="Z1055" s="305"/>
      <c r="AA1055" s="60"/>
      <c r="AB1055" s="60"/>
      <c r="AC1055" s="60"/>
      <c r="AD1055" s="60"/>
      <c r="AE1055" s="60"/>
      <c r="AF1055" s="60"/>
      <c r="AG1055" s="60"/>
      <c r="AH1055" s="60"/>
      <c r="AI1055" s="60"/>
      <c r="AJ1055" s="60"/>
    </row>
    <row r="1056" spans="2:36" s="59" customFormat="1">
      <c r="B1056" s="203"/>
      <c r="C1056" s="186"/>
      <c r="D1056" s="186"/>
      <c r="E1056" s="186"/>
      <c r="F1056" s="186"/>
      <c r="G1056" s="186"/>
      <c r="H1056" s="186"/>
      <c r="I1056" s="186"/>
      <c r="J1056" s="186"/>
      <c r="K1056" s="186"/>
      <c r="L1056" s="370"/>
      <c r="M1056" s="370"/>
      <c r="N1056" s="370"/>
      <c r="O1056" s="370"/>
      <c r="P1056" s="370"/>
      <c r="Q1056" s="186"/>
      <c r="R1056" s="186"/>
      <c r="S1056" s="186"/>
      <c r="T1056" s="186"/>
      <c r="U1056" s="186"/>
      <c r="V1056" s="186"/>
      <c r="W1056" s="186"/>
      <c r="X1056" s="186"/>
      <c r="Y1056" s="186"/>
      <c r="Z1056" s="305"/>
      <c r="AA1056" s="60"/>
      <c r="AB1056" s="60"/>
      <c r="AC1056" s="60"/>
      <c r="AD1056" s="60"/>
      <c r="AE1056" s="60"/>
      <c r="AF1056" s="60"/>
      <c r="AG1056" s="60"/>
      <c r="AH1056" s="60"/>
      <c r="AI1056" s="60"/>
      <c r="AJ1056" s="60"/>
    </row>
    <row r="1057" spans="2:36" s="59" customFormat="1">
      <c r="B1057" s="203"/>
      <c r="C1057" s="186"/>
      <c r="D1057" s="186"/>
      <c r="E1057" s="186"/>
      <c r="F1057" s="186"/>
      <c r="G1057" s="186"/>
      <c r="H1057" s="186"/>
      <c r="I1057" s="186"/>
      <c r="J1057" s="186"/>
      <c r="K1057" s="186"/>
      <c r="L1057" s="370"/>
      <c r="M1057" s="370"/>
      <c r="N1057" s="370"/>
      <c r="O1057" s="370"/>
      <c r="P1057" s="370"/>
      <c r="Q1057" s="186"/>
      <c r="R1057" s="186"/>
      <c r="S1057" s="186"/>
      <c r="T1057" s="186"/>
      <c r="U1057" s="186"/>
      <c r="V1057" s="186"/>
      <c r="W1057" s="186"/>
      <c r="X1057" s="186"/>
      <c r="Y1057" s="186"/>
      <c r="Z1057" s="305"/>
      <c r="AA1057" s="60"/>
      <c r="AB1057" s="60"/>
      <c r="AC1057" s="60"/>
      <c r="AD1057" s="60"/>
      <c r="AE1057" s="60"/>
      <c r="AF1057" s="60"/>
      <c r="AG1057" s="60"/>
      <c r="AH1057" s="60"/>
      <c r="AI1057" s="60"/>
      <c r="AJ1057" s="60"/>
    </row>
    <row r="1058" spans="2:36" s="59" customFormat="1">
      <c r="B1058" s="203"/>
      <c r="C1058" s="186"/>
      <c r="D1058" s="186"/>
      <c r="E1058" s="186"/>
      <c r="F1058" s="186"/>
      <c r="G1058" s="186"/>
      <c r="H1058" s="186"/>
      <c r="I1058" s="186"/>
      <c r="J1058" s="186"/>
      <c r="K1058" s="186"/>
      <c r="L1058" s="370"/>
      <c r="M1058" s="370"/>
      <c r="N1058" s="370"/>
      <c r="O1058" s="370"/>
      <c r="P1058" s="370"/>
      <c r="Q1058" s="186"/>
      <c r="R1058" s="186"/>
      <c r="S1058" s="186"/>
      <c r="T1058" s="186"/>
      <c r="U1058" s="186"/>
      <c r="V1058" s="186"/>
      <c r="W1058" s="186"/>
      <c r="X1058" s="186"/>
      <c r="Y1058" s="186"/>
      <c r="Z1058" s="305"/>
      <c r="AA1058" s="60"/>
      <c r="AB1058" s="60"/>
      <c r="AC1058" s="60"/>
      <c r="AD1058" s="60"/>
      <c r="AE1058" s="60"/>
      <c r="AF1058" s="60"/>
      <c r="AG1058" s="60"/>
      <c r="AH1058" s="60"/>
      <c r="AI1058" s="60"/>
      <c r="AJ1058" s="60"/>
    </row>
    <row r="1059" spans="2:36" s="59" customFormat="1">
      <c r="B1059" s="203"/>
      <c r="C1059" s="186"/>
      <c r="D1059" s="186"/>
      <c r="E1059" s="186"/>
      <c r="F1059" s="186"/>
      <c r="G1059" s="186"/>
      <c r="H1059" s="186"/>
      <c r="I1059" s="186"/>
      <c r="J1059" s="186"/>
      <c r="K1059" s="186"/>
      <c r="L1059" s="370"/>
      <c r="M1059" s="370"/>
      <c r="N1059" s="370"/>
      <c r="O1059" s="370"/>
      <c r="P1059" s="370"/>
      <c r="Q1059" s="186"/>
      <c r="R1059" s="186"/>
      <c r="S1059" s="186"/>
      <c r="T1059" s="186"/>
      <c r="U1059" s="186"/>
      <c r="V1059" s="186"/>
      <c r="W1059" s="186"/>
      <c r="X1059" s="186"/>
      <c r="Y1059" s="186"/>
      <c r="Z1059" s="305"/>
      <c r="AA1059" s="60"/>
      <c r="AB1059" s="60"/>
      <c r="AC1059" s="60"/>
      <c r="AD1059" s="60"/>
      <c r="AE1059" s="60"/>
      <c r="AF1059" s="60"/>
      <c r="AG1059" s="60"/>
      <c r="AH1059" s="60"/>
      <c r="AI1059" s="60"/>
      <c r="AJ1059" s="60"/>
    </row>
    <row r="1060" spans="2:36" s="59" customFormat="1">
      <c r="B1060" s="203"/>
      <c r="C1060" s="186"/>
      <c r="D1060" s="186"/>
      <c r="E1060" s="186"/>
      <c r="F1060" s="186"/>
      <c r="G1060" s="186"/>
      <c r="H1060" s="186"/>
      <c r="I1060" s="186"/>
      <c r="J1060" s="186"/>
      <c r="K1060" s="186"/>
      <c r="L1060" s="370"/>
      <c r="M1060" s="370"/>
      <c r="N1060" s="370"/>
      <c r="O1060" s="370"/>
      <c r="P1060" s="370"/>
      <c r="Q1060" s="186"/>
      <c r="R1060" s="186"/>
      <c r="S1060" s="186"/>
      <c r="T1060" s="186"/>
      <c r="U1060" s="186"/>
      <c r="V1060" s="186"/>
      <c r="W1060" s="186"/>
      <c r="X1060" s="186"/>
      <c r="Y1060" s="186"/>
      <c r="Z1060" s="305"/>
      <c r="AA1060" s="60"/>
      <c r="AB1060" s="60"/>
      <c r="AC1060" s="60"/>
      <c r="AD1060" s="60"/>
      <c r="AE1060" s="60"/>
      <c r="AF1060" s="60"/>
      <c r="AG1060" s="60"/>
      <c r="AH1060" s="60"/>
      <c r="AI1060" s="60"/>
      <c r="AJ1060" s="60"/>
    </row>
    <row r="1061" spans="2:36" s="59" customFormat="1">
      <c r="B1061" s="203"/>
      <c r="C1061" s="186"/>
      <c r="D1061" s="186"/>
      <c r="E1061" s="186"/>
      <c r="F1061" s="186"/>
      <c r="G1061" s="186"/>
      <c r="H1061" s="186"/>
      <c r="I1061" s="186"/>
      <c r="J1061" s="186"/>
      <c r="K1061" s="186"/>
      <c r="L1061" s="370"/>
      <c r="M1061" s="370"/>
      <c r="N1061" s="370"/>
      <c r="O1061" s="370"/>
      <c r="P1061" s="370"/>
      <c r="Q1061" s="186"/>
      <c r="R1061" s="186"/>
      <c r="S1061" s="186"/>
      <c r="T1061" s="186"/>
      <c r="U1061" s="186"/>
      <c r="V1061" s="186"/>
      <c r="W1061" s="186"/>
      <c r="X1061" s="186"/>
      <c r="Y1061" s="186"/>
      <c r="Z1061" s="305"/>
      <c r="AA1061" s="60"/>
      <c r="AB1061" s="60"/>
      <c r="AC1061" s="60"/>
      <c r="AD1061" s="60"/>
      <c r="AE1061" s="60"/>
      <c r="AF1061" s="60"/>
      <c r="AG1061" s="60"/>
      <c r="AH1061" s="60"/>
      <c r="AI1061" s="60"/>
      <c r="AJ1061" s="60"/>
    </row>
    <row r="1062" spans="2:36" s="59" customFormat="1">
      <c r="B1062" s="203"/>
      <c r="C1062" s="186"/>
      <c r="D1062" s="186"/>
      <c r="E1062" s="186"/>
      <c r="F1062" s="186"/>
      <c r="G1062" s="186"/>
      <c r="H1062" s="186"/>
      <c r="I1062" s="186"/>
      <c r="J1062" s="186"/>
      <c r="K1062" s="186"/>
      <c r="L1062" s="370"/>
      <c r="M1062" s="370"/>
      <c r="N1062" s="370"/>
      <c r="O1062" s="370"/>
      <c r="P1062" s="370"/>
      <c r="Q1062" s="186"/>
      <c r="R1062" s="186"/>
      <c r="S1062" s="186"/>
      <c r="T1062" s="186"/>
      <c r="U1062" s="186"/>
      <c r="V1062" s="186"/>
      <c r="W1062" s="186"/>
      <c r="X1062" s="186"/>
      <c r="Y1062" s="186"/>
      <c r="Z1062" s="305"/>
      <c r="AA1062" s="60"/>
      <c r="AB1062" s="60"/>
      <c r="AC1062" s="60"/>
      <c r="AD1062" s="60"/>
      <c r="AE1062" s="60"/>
      <c r="AF1062" s="60"/>
      <c r="AG1062" s="60"/>
      <c r="AH1062" s="60"/>
      <c r="AI1062" s="60"/>
      <c r="AJ1062" s="60"/>
    </row>
    <row r="1063" spans="2:36" s="59" customFormat="1">
      <c r="B1063" s="203"/>
      <c r="C1063" s="186"/>
      <c r="D1063" s="186"/>
      <c r="E1063" s="186"/>
      <c r="F1063" s="186"/>
      <c r="G1063" s="186"/>
      <c r="H1063" s="186"/>
      <c r="I1063" s="186"/>
      <c r="J1063" s="186"/>
      <c r="K1063" s="186"/>
      <c r="L1063" s="370"/>
      <c r="M1063" s="370"/>
      <c r="N1063" s="370"/>
      <c r="O1063" s="370"/>
      <c r="P1063" s="370"/>
      <c r="Q1063" s="186"/>
      <c r="R1063" s="186"/>
      <c r="S1063" s="186"/>
      <c r="T1063" s="186"/>
      <c r="U1063" s="186"/>
      <c r="V1063" s="186"/>
      <c r="W1063" s="186"/>
      <c r="X1063" s="186"/>
      <c r="Y1063" s="186"/>
      <c r="Z1063" s="305"/>
      <c r="AA1063" s="60"/>
      <c r="AB1063" s="60"/>
      <c r="AC1063" s="60"/>
      <c r="AD1063" s="60"/>
      <c r="AE1063" s="60"/>
      <c r="AF1063" s="60"/>
      <c r="AG1063" s="60"/>
      <c r="AH1063" s="60"/>
      <c r="AI1063" s="60"/>
      <c r="AJ1063" s="60"/>
    </row>
    <row r="1064" spans="2:36" s="59" customFormat="1">
      <c r="B1064" s="203"/>
      <c r="C1064" s="186"/>
      <c r="D1064" s="186"/>
      <c r="E1064" s="186"/>
      <c r="F1064" s="186"/>
      <c r="G1064" s="186"/>
      <c r="H1064" s="186"/>
      <c r="I1064" s="186"/>
      <c r="J1064" s="186"/>
      <c r="K1064" s="186"/>
      <c r="L1064" s="370"/>
      <c r="M1064" s="370"/>
      <c r="N1064" s="370"/>
      <c r="O1064" s="370"/>
      <c r="P1064" s="370"/>
      <c r="Q1064" s="186"/>
      <c r="R1064" s="186"/>
      <c r="S1064" s="186"/>
      <c r="T1064" s="186"/>
      <c r="U1064" s="186"/>
      <c r="V1064" s="186"/>
      <c r="W1064" s="186"/>
      <c r="X1064" s="186"/>
      <c r="Y1064" s="186"/>
      <c r="Z1064" s="305"/>
      <c r="AA1064" s="60"/>
      <c r="AB1064" s="60"/>
      <c r="AC1064" s="60"/>
      <c r="AD1064" s="60"/>
      <c r="AE1064" s="60"/>
      <c r="AF1064" s="60"/>
      <c r="AG1064" s="60"/>
      <c r="AH1064" s="60"/>
      <c r="AI1064" s="60"/>
      <c r="AJ1064" s="60"/>
    </row>
    <row r="1065" spans="2:36" s="59" customFormat="1">
      <c r="B1065" s="203"/>
      <c r="C1065" s="186"/>
      <c r="D1065" s="186"/>
      <c r="E1065" s="186"/>
      <c r="F1065" s="186"/>
      <c r="G1065" s="186"/>
      <c r="H1065" s="186"/>
      <c r="I1065" s="186"/>
      <c r="J1065" s="186"/>
      <c r="K1065" s="186"/>
      <c r="L1065" s="370"/>
      <c r="M1065" s="370"/>
      <c r="N1065" s="370"/>
      <c r="O1065" s="370"/>
      <c r="P1065" s="370"/>
      <c r="Q1065" s="186"/>
      <c r="R1065" s="186"/>
      <c r="S1065" s="186"/>
      <c r="T1065" s="186"/>
      <c r="U1065" s="186"/>
      <c r="V1065" s="186"/>
      <c r="W1065" s="186"/>
      <c r="X1065" s="186"/>
      <c r="Y1065" s="186"/>
      <c r="Z1065" s="305"/>
      <c r="AA1065" s="60"/>
      <c r="AB1065" s="60"/>
      <c r="AC1065" s="60"/>
      <c r="AD1065" s="60"/>
      <c r="AE1065" s="60"/>
      <c r="AF1065" s="60"/>
      <c r="AG1065" s="60"/>
      <c r="AH1065" s="60"/>
      <c r="AI1065" s="60"/>
      <c r="AJ1065" s="60"/>
    </row>
    <row r="1066" spans="2:36" s="59" customFormat="1">
      <c r="B1066" s="203"/>
      <c r="C1066" s="186"/>
      <c r="D1066" s="186"/>
      <c r="E1066" s="186"/>
      <c r="F1066" s="186"/>
      <c r="G1066" s="186"/>
      <c r="H1066" s="186"/>
      <c r="I1066" s="186"/>
      <c r="J1066" s="186"/>
      <c r="K1066" s="186"/>
      <c r="L1066" s="370"/>
      <c r="M1066" s="370"/>
      <c r="N1066" s="370"/>
      <c r="O1066" s="370"/>
      <c r="P1066" s="370"/>
      <c r="Q1066" s="186"/>
      <c r="R1066" s="186"/>
      <c r="S1066" s="186"/>
      <c r="T1066" s="186"/>
      <c r="U1066" s="186"/>
      <c r="V1066" s="186"/>
      <c r="W1066" s="186"/>
      <c r="X1066" s="186"/>
      <c r="Y1066" s="186"/>
      <c r="Z1066" s="305"/>
      <c r="AA1066" s="60"/>
      <c r="AB1066" s="60"/>
      <c r="AC1066" s="60"/>
      <c r="AD1066" s="60"/>
      <c r="AE1066" s="60"/>
      <c r="AF1066" s="60"/>
      <c r="AG1066" s="60"/>
      <c r="AH1066" s="60"/>
      <c r="AI1066" s="60"/>
      <c r="AJ1066" s="60"/>
    </row>
    <row r="1067" spans="2:36" s="59" customFormat="1">
      <c r="B1067" s="203"/>
      <c r="C1067" s="186"/>
      <c r="D1067" s="186"/>
      <c r="E1067" s="186"/>
      <c r="F1067" s="186"/>
      <c r="G1067" s="186"/>
      <c r="H1067" s="186"/>
      <c r="I1067" s="186"/>
      <c r="J1067" s="186"/>
      <c r="K1067" s="186"/>
      <c r="L1067" s="370"/>
      <c r="M1067" s="370"/>
      <c r="N1067" s="370"/>
      <c r="O1067" s="370"/>
      <c r="P1067" s="370"/>
      <c r="Q1067" s="186"/>
      <c r="R1067" s="186"/>
      <c r="S1067" s="186"/>
      <c r="T1067" s="186"/>
      <c r="U1067" s="186"/>
      <c r="V1067" s="186"/>
      <c r="W1067" s="186"/>
      <c r="X1067" s="186"/>
      <c r="Y1067" s="186"/>
      <c r="Z1067" s="305"/>
      <c r="AA1067" s="60"/>
      <c r="AB1067" s="60"/>
      <c r="AC1067" s="60"/>
      <c r="AD1067" s="60"/>
      <c r="AE1067" s="60"/>
      <c r="AF1067" s="60"/>
      <c r="AG1067" s="60"/>
      <c r="AH1067" s="60"/>
      <c r="AI1067" s="60"/>
      <c r="AJ1067" s="60"/>
    </row>
    <row r="1068" spans="2:36" s="59" customFormat="1">
      <c r="B1068" s="203"/>
      <c r="C1068" s="186"/>
      <c r="D1068" s="186"/>
      <c r="E1068" s="186"/>
      <c r="F1068" s="186"/>
      <c r="G1068" s="186"/>
      <c r="H1068" s="186"/>
      <c r="I1068" s="186"/>
      <c r="J1068" s="186"/>
      <c r="K1068" s="186"/>
      <c r="L1068" s="370"/>
      <c r="M1068" s="370"/>
      <c r="N1068" s="370"/>
      <c r="O1068" s="370"/>
      <c r="P1068" s="370"/>
      <c r="Q1068" s="186"/>
      <c r="R1068" s="186"/>
      <c r="S1068" s="186"/>
      <c r="T1068" s="186"/>
      <c r="U1068" s="186"/>
      <c r="V1068" s="186"/>
      <c r="W1068" s="186"/>
      <c r="X1068" s="186"/>
      <c r="Y1068" s="186"/>
      <c r="Z1068" s="305"/>
      <c r="AA1068" s="60"/>
      <c r="AB1068" s="60"/>
      <c r="AC1068" s="60"/>
      <c r="AD1068" s="60"/>
      <c r="AE1068" s="60"/>
      <c r="AF1068" s="60"/>
      <c r="AG1068" s="60"/>
      <c r="AH1068" s="60"/>
      <c r="AI1068" s="60"/>
      <c r="AJ1068" s="60"/>
    </row>
    <row r="1069" spans="2:36" s="59" customFormat="1">
      <c r="B1069" s="203"/>
      <c r="C1069" s="186"/>
      <c r="D1069" s="186"/>
      <c r="E1069" s="186"/>
      <c r="F1069" s="186"/>
      <c r="G1069" s="186"/>
      <c r="H1069" s="186"/>
      <c r="I1069" s="186"/>
      <c r="J1069" s="186"/>
      <c r="K1069" s="186"/>
      <c r="L1069" s="370"/>
      <c r="M1069" s="370"/>
      <c r="N1069" s="370"/>
      <c r="O1069" s="370"/>
      <c r="P1069" s="370"/>
      <c r="Q1069" s="186"/>
      <c r="R1069" s="186"/>
      <c r="S1069" s="186"/>
      <c r="T1069" s="186"/>
      <c r="U1069" s="186"/>
      <c r="V1069" s="186"/>
      <c r="W1069" s="186"/>
      <c r="X1069" s="186"/>
      <c r="Y1069" s="186"/>
      <c r="Z1069" s="305"/>
      <c r="AA1069" s="60"/>
      <c r="AB1069" s="60"/>
      <c r="AC1069" s="60"/>
      <c r="AD1069" s="60"/>
      <c r="AE1069" s="60"/>
      <c r="AF1069" s="60"/>
      <c r="AG1069" s="60"/>
      <c r="AH1069" s="60"/>
      <c r="AI1069" s="60"/>
      <c r="AJ1069" s="60"/>
    </row>
    <row r="1070" spans="2:36" s="59" customFormat="1">
      <c r="B1070" s="203"/>
      <c r="C1070" s="186"/>
      <c r="D1070" s="186"/>
      <c r="E1070" s="186"/>
      <c r="F1070" s="186"/>
      <c r="G1070" s="186"/>
      <c r="H1070" s="186"/>
      <c r="I1070" s="186"/>
      <c r="J1070" s="186"/>
      <c r="K1070" s="186"/>
      <c r="L1070" s="370"/>
      <c r="M1070" s="370"/>
      <c r="N1070" s="370"/>
      <c r="O1070" s="370"/>
      <c r="P1070" s="370"/>
      <c r="Q1070" s="186"/>
      <c r="R1070" s="186"/>
      <c r="S1070" s="186"/>
      <c r="T1070" s="186"/>
      <c r="U1070" s="186"/>
      <c r="V1070" s="186"/>
      <c r="W1070" s="186"/>
      <c r="X1070" s="186"/>
      <c r="Y1070" s="186"/>
      <c r="Z1070" s="305"/>
      <c r="AA1070" s="60"/>
      <c r="AB1070" s="60"/>
      <c r="AC1070" s="60"/>
      <c r="AD1070" s="60"/>
      <c r="AE1070" s="60"/>
      <c r="AF1070" s="60"/>
      <c r="AG1070" s="60"/>
      <c r="AH1070" s="60"/>
      <c r="AI1070" s="60"/>
      <c r="AJ1070" s="60"/>
    </row>
    <row r="1071" spans="2:36" s="59" customFormat="1">
      <c r="B1071" s="203"/>
      <c r="C1071" s="186"/>
      <c r="D1071" s="186"/>
      <c r="E1071" s="186"/>
      <c r="F1071" s="186"/>
      <c r="G1071" s="186"/>
      <c r="H1071" s="186"/>
      <c r="I1071" s="186"/>
      <c r="J1071" s="186"/>
      <c r="K1071" s="186"/>
      <c r="L1071" s="370"/>
      <c r="M1071" s="370"/>
      <c r="N1071" s="370"/>
      <c r="O1071" s="370"/>
      <c r="P1071" s="370"/>
      <c r="Q1071" s="186"/>
      <c r="R1071" s="186"/>
      <c r="S1071" s="186"/>
      <c r="T1071" s="186"/>
      <c r="U1071" s="186"/>
      <c r="V1071" s="186"/>
      <c r="W1071" s="186"/>
      <c r="X1071" s="186"/>
      <c r="Y1071" s="186"/>
      <c r="Z1071" s="305"/>
      <c r="AA1071" s="60"/>
      <c r="AB1071" s="60"/>
      <c r="AC1071" s="60"/>
      <c r="AD1071" s="60"/>
      <c r="AE1071" s="60"/>
      <c r="AF1071" s="60"/>
      <c r="AG1071" s="60"/>
      <c r="AH1071" s="60"/>
      <c r="AI1071" s="60"/>
      <c r="AJ1071" s="60"/>
    </row>
    <row r="1072" spans="2:36" s="59" customFormat="1">
      <c r="B1072" s="203"/>
      <c r="C1072" s="186"/>
      <c r="D1072" s="186"/>
      <c r="E1072" s="186"/>
      <c r="F1072" s="186"/>
      <c r="G1072" s="186"/>
      <c r="H1072" s="186"/>
      <c r="I1072" s="186"/>
      <c r="J1072" s="186"/>
      <c r="K1072" s="186"/>
      <c r="L1072" s="370"/>
      <c r="M1072" s="370"/>
      <c r="N1072" s="370"/>
      <c r="O1072" s="370"/>
      <c r="P1072" s="370"/>
      <c r="Q1072" s="186"/>
      <c r="R1072" s="186"/>
      <c r="S1072" s="186"/>
      <c r="T1072" s="186"/>
      <c r="U1072" s="186"/>
      <c r="V1072" s="186"/>
      <c r="W1072" s="186"/>
      <c r="X1072" s="186"/>
      <c r="Y1072" s="186"/>
      <c r="Z1072" s="305"/>
      <c r="AA1072" s="60"/>
      <c r="AB1072" s="60"/>
      <c r="AC1072" s="60"/>
      <c r="AD1072" s="60"/>
      <c r="AE1072" s="60"/>
      <c r="AF1072" s="60"/>
      <c r="AG1072" s="60"/>
      <c r="AH1072" s="60"/>
      <c r="AI1072" s="60"/>
      <c r="AJ1072" s="60"/>
    </row>
    <row r="1073" spans="2:36" s="59" customFormat="1">
      <c r="B1073" s="203"/>
      <c r="C1073" s="186"/>
      <c r="D1073" s="186"/>
      <c r="E1073" s="186"/>
      <c r="F1073" s="186"/>
      <c r="G1073" s="186"/>
      <c r="H1073" s="186"/>
      <c r="I1073" s="186"/>
      <c r="J1073" s="186"/>
      <c r="K1073" s="186"/>
      <c r="L1073" s="370"/>
      <c r="M1073" s="370"/>
      <c r="N1073" s="370"/>
      <c r="O1073" s="370"/>
      <c r="P1073" s="370"/>
      <c r="Q1073" s="186"/>
      <c r="R1073" s="186"/>
      <c r="S1073" s="186"/>
      <c r="T1073" s="186"/>
      <c r="U1073" s="186"/>
      <c r="V1073" s="186"/>
      <c r="W1073" s="186"/>
      <c r="X1073" s="186"/>
      <c r="Y1073" s="186"/>
      <c r="Z1073" s="305"/>
      <c r="AA1073" s="60"/>
      <c r="AB1073" s="60"/>
      <c r="AC1073" s="60"/>
      <c r="AD1073" s="60"/>
      <c r="AE1073" s="60"/>
      <c r="AF1073" s="60"/>
      <c r="AG1073" s="60"/>
      <c r="AH1073" s="60"/>
      <c r="AI1073" s="60"/>
      <c r="AJ1073" s="60"/>
    </row>
    <row r="1074" spans="2:36" s="59" customFormat="1">
      <c r="B1074" s="203"/>
      <c r="C1074" s="186"/>
      <c r="D1074" s="186"/>
      <c r="E1074" s="186"/>
      <c r="F1074" s="186"/>
      <c r="G1074" s="186"/>
      <c r="H1074" s="186"/>
      <c r="I1074" s="186"/>
      <c r="J1074" s="186"/>
      <c r="K1074" s="186"/>
      <c r="L1074" s="370"/>
      <c r="M1074" s="370"/>
      <c r="N1074" s="370"/>
      <c r="O1074" s="370"/>
      <c r="P1074" s="370"/>
      <c r="Q1074" s="186"/>
      <c r="R1074" s="186"/>
      <c r="S1074" s="186"/>
      <c r="T1074" s="186"/>
      <c r="U1074" s="186"/>
      <c r="V1074" s="186"/>
      <c r="W1074" s="186"/>
      <c r="X1074" s="186"/>
      <c r="Y1074" s="186"/>
      <c r="Z1074" s="305"/>
      <c r="AA1074" s="60"/>
      <c r="AB1074" s="60"/>
      <c r="AC1074" s="60"/>
      <c r="AD1074" s="60"/>
      <c r="AE1074" s="60"/>
      <c r="AF1074" s="60"/>
      <c r="AG1074" s="60"/>
      <c r="AH1074" s="60"/>
      <c r="AI1074" s="60"/>
      <c r="AJ1074" s="60"/>
    </row>
    <row r="1075" spans="2:36" s="59" customFormat="1">
      <c r="B1075" s="203"/>
      <c r="C1075" s="186"/>
      <c r="D1075" s="186"/>
      <c r="E1075" s="186"/>
      <c r="F1075" s="186"/>
      <c r="G1075" s="186"/>
      <c r="H1075" s="186"/>
      <c r="I1075" s="186"/>
      <c r="J1075" s="186"/>
      <c r="K1075" s="186"/>
      <c r="L1075" s="370"/>
      <c r="M1075" s="370"/>
      <c r="N1075" s="370"/>
      <c r="O1075" s="370"/>
      <c r="P1075" s="370"/>
      <c r="Q1075" s="186"/>
      <c r="R1075" s="186"/>
      <c r="S1075" s="186"/>
      <c r="T1075" s="186"/>
      <c r="U1075" s="186"/>
      <c r="V1075" s="186"/>
      <c r="W1075" s="186"/>
      <c r="X1075" s="186"/>
      <c r="Y1075" s="186"/>
      <c r="Z1075" s="305"/>
      <c r="AA1075" s="60"/>
      <c r="AB1075" s="60"/>
      <c r="AC1075" s="60"/>
      <c r="AD1075" s="60"/>
      <c r="AE1075" s="60"/>
      <c r="AF1075" s="60"/>
      <c r="AG1075" s="60"/>
      <c r="AH1075" s="60"/>
      <c r="AI1075" s="60"/>
      <c r="AJ1075" s="60"/>
    </row>
    <row r="1076" spans="2:36" s="59" customFormat="1">
      <c r="B1076" s="203"/>
      <c r="C1076" s="186"/>
      <c r="D1076" s="186"/>
      <c r="E1076" s="186"/>
      <c r="F1076" s="186"/>
      <c r="G1076" s="186"/>
      <c r="H1076" s="186"/>
      <c r="I1076" s="186"/>
      <c r="J1076" s="186"/>
      <c r="K1076" s="186"/>
      <c r="L1076" s="370"/>
      <c r="M1076" s="370"/>
      <c r="N1076" s="370"/>
      <c r="O1076" s="370"/>
      <c r="P1076" s="370"/>
      <c r="Q1076" s="186"/>
      <c r="R1076" s="186"/>
      <c r="S1076" s="186"/>
      <c r="T1076" s="186"/>
      <c r="U1076" s="186"/>
      <c r="V1076" s="186"/>
      <c r="W1076" s="186"/>
      <c r="X1076" s="186"/>
      <c r="Y1076" s="186"/>
      <c r="Z1076" s="305"/>
      <c r="AA1076" s="60"/>
      <c r="AB1076" s="60"/>
      <c r="AC1076" s="60"/>
      <c r="AD1076" s="60"/>
      <c r="AE1076" s="60"/>
      <c r="AF1076" s="60"/>
      <c r="AG1076" s="60"/>
      <c r="AH1076" s="60"/>
      <c r="AI1076" s="60"/>
      <c r="AJ1076" s="60"/>
    </row>
    <row r="1077" spans="2:36" s="59" customFormat="1">
      <c r="B1077" s="203"/>
      <c r="C1077" s="186"/>
      <c r="D1077" s="186"/>
      <c r="E1077" s="186"/>
      <c r="F1077" s="186"/>
      <c r="G1077" s="186"/>
      <c r="H1077" s="186"/>
      <c r="I1077" s="186"/>
      <c r="J1077" s="186"/>
      <c r="K1077" s="186"/>
      <c r="L1077" s="370"/>
      <c r="M1077" s="370"/>
      <c r="N1077" s="370"/>
      <c r="O1077" s="370"/>
      <c r="P1077" s="370"/>
      <c r="Q1077" s="186"/>
      <c r="R1077" s="186"/>
      <c r="S1077" s="186"/>
      <c r="T1077" s="186"/>
      <c r="U1077" s="186"/>
      <c r="V1077" s="186"/>
      <c r="W1077" s="186"/>
      <c r="X1077" s="186"/>
      <c r="Y1077" s="186"/>
      <c r="Z1077" s="305"/>
      <c r="AA1077" s="60"/>
      <c r="AB1077" s="60"/>
      <c r="AC1077" s="60"/>
      <c r="AD1077" s="60"/>
      <c r="AE1077" s="60"/>
      <c r="AF1077" s="60"/>
      <c r="AG1077" s="60"/>
      <c r="AH1077" s="60"/>
      <c r="AI1077" s="60"/>
      <c r="AJ1077" s="60"/>
    </row>
    <row r="1078" spans="2:36" s="59" customFormat="1">
      <c r="B1078" s="203"/>
      <c r="C1078" s="186"/>
      <c r="D1078" s="186"/>
      <c r="E1078" s="186"/>
      <c r="F1078" s="186"/>
      <c r="G1078" s="186"/>
      <c r="H1078" s="186"/>
      <c r="I1078" s="186"/>
      <c r="J1078" s="186"/>
      <c r="K1078" s="186"/>
      <c r="L1078" s="370"/>
      <c r="M1078" s="370"/>
      <c r="N1078" s="370"/>
      <c r="O1078" s="370"/>
      <c r="P1078" s="370"/>
      <c r="Q1078" s="186"/>
      <c r="R1078" s="186"/>
      <c r="S1078" s="186"/>
      <c r="T1078" s="186"/>
      <c r="U1078" s="186"/>
      <c r="V1078" s="186"/>
      <c r="W1078" s="186"/>
      <c r="X1078" s="186"/>
      <c r="Y1078" s="186"/>
      <c r="Z1078" s="305"/>
      <c r="AA1078" s="60"/>
      <c r="AB1078" s="60"/>
      <c r="AC1078" s="60"/>
      <c r="AD1078" s="60"/>
      <c r="AE1078" s="60"/>
      <c r="AF1078" s="60"/>
      <c r="AG1078" s="60"/>
      <c r="AH1078" s="60"/>
      <c r="AI1078" s="60"/>
      <c r="AJ1078" s="60"/>
    </row>
    <row r="1079" spans="2:36" s="59" customFormat="1">
      <c r="B1079" s="203"/>
      <c r="C1079" s="186"/>
      <c r="D1079" s="186"/>
      <c r="E1079" s="186"/>
      <c r="F1079" s="186"/>
      <c r="G1079" s="186"/>
      <c r="H1079" s="186"/>
      <c r="I1079" s="186"/>
      <c r="J1079" s="186"/>
      <c r="K1079" s="186"/>
      <c r="L1079" s="370"/>
      <c r="M1079" s="370"/>
      <c r="N1079" s="370"/>
      <c r="O1079" s="370"/>
      <c r="P1079" s="370"/>
      <c r="Q1079" s="186"/>
      <c r="R1079" s="186"/>
      <c r="S1079" s="186"/>
      <c r="T1079" s="186"/>
      <c r="U1079" s="186"/>
      <c r="V1079" s="186"/>
      <c r="W1079" s="186"/>
      <c r="X1079" s="186"/>
      <c r="Y1079" s="186"/>
      <c r="Z1079" s="305"/>
      <c r="AA1079" s="60"/>
      <c r="AB1079" s="60"/>
      <c r="AC1079" s="60"/>
      <c r="AD1079" s="60"/>
      <c r="AE1079" s="60"/>
      <c r="AF1079" s="60"/>
      <c r="AG1079" s="60"/>
      <c r="AH1079" s="60"/>
      <c r="AI1079" s="60"/>
      <c r="AJ1079" s="60"/>
    </row>
    <row r="1080" spans="2:36" s="59" customFormat="1">
      <c r="B1080" s="203"/>
      <c r="C1080" s="186"/>
      <c r="D1080" s="186"/>
      <c r="E1080" s="186"/>
      <c r="F1080" s="186"/>
      <c r="G1080" s="186"/>
      <c r="H1080" s="186"/>
      <c r="I1080" s="186"/>
      <c r="J1080" s="186"/>
      <c r="K1080" s="186"/>
      <c r="L1080" s="370"/>
      <c r="M1080" s="370"/>
      <c r="N1080" s="370"/>
      <c r="O1080" s="370"/>
      <c r="P1080" s="370"/>
      <c r="Q1080" s="186"/>
      <c r="R1080" s="186"/>
      <c r="S1080" s="186"/>
      <c r="T1080" s="186"/>
      <c r="U1080" s="186"/>
      <c r="V1080" s="186"/>
      <c r="W1080" s="186"/>
      <c r="X1080" s="186"/>
      <c r="Y1080" s="186"/>
      <c r="Z1080" s="305"/>
      <c r="AA1080" s="60"/>
      <c r="AB1080" s="60"/>
      <c r="AC1080" s="60"/>
      <c r="AD1080" s="60"/>
      <c r="AE1080" s="60"/>
      <c r="AF1080" s="60"/>
      <c r="AG1080" s="60"/>
      <c r="AH1080" s="60"/>
      <c r="AI1080" s="60"/>
      <c r="AJ1080" s="60"/>
    </row>
    <row r="1081" spans="2:36" s="59" customFormat="1">
      <c r="B1081" s="203"/>
      <c r="C1081" s="186"/>
      <c r="D1081" s="186"/>
      <c r="E1081" s="186"/>
      <c r="F1081" s="186"/>
      <c r="G1081" s="186"/>
      <c r="H1081" s="186"/>
      <c r="I1081" s="186"/>
      <c r="J1081" s="186"/>
      <c r="K1081" s="186"/>
      <c r="L1081" s="370"/>
      <c r="M1081" s="370"/>
      <c r="N1081" s="370"/>
      <c r="O1081" s="370"/>
      <c r="P1081" s="370"/>
      <c r="Q1081" s="186"/>
      <c r="R1081" s="186"/>
      <c r="S1081" s="186"/>
      <c r="T1081" s="186"/>
      <c r="U1081" s="186"/>
      <c r="V1081" s="186"/>
      <c r="W1081" s="186"/>
      <c r="X1081" s="186"/>
      <c r="Y1081" s="186"/>
      <c r="Z1081" s="305"/>
      <c r="AA1081" s="60"/>
      <c r="AB1081" s="60"/>
      <c r="AC1081" s="60"/>
      <c r="AD1081" s="60"/>
      <c r="AE1081" s="60"/>
      <c r="AF1081" s="60"/>
      <c r="AG1081" s="60"/>
      <c r="AH1081" s="60"/>
      <c r="AI1081" s="60"/>
      <c r="AJ1081" s="60"/>
    </row>
    <row r="1082" spans="2:36" s="59" customFormat="1">
      <c r="B1082" s="203"/>
      <c r="C1082" s="186"/>
      <c r="D1082" s="186"/>
      <c r="E1082" s="186"/>
      <c r="F1082" s="186"/>
      <c r="G1082" s="186"/>
      <c r="H1082" s="186"/>
      <c r="I1082" s="186"/>
      <c r="J1082" s="186"/>
      <c r="K1082" s="186"/>
      <c r="L1082" s="370"/>
      <c r="M1082" s="370"/>
      <c r="N1082" s="370"/>
      <c r="O1082" s="370"/>
      <c r="P1082" s="370"/>
      <c r="Q1082" s="186"/>
      <c r="R1082" s="186"/>
      <c r="S1082" s="186"/>
      <c r="T1082" s="186"/>
      <c r="U1082" s="186"/>
      <c r="V1082" s="186"/>
      <c r="W1082" s="186"/>
      <c r="X1082" s="186"/>
      <c r="Y1082" s="186"/>
      <c r="Z1082" s="305"/>
      <c r="AA1082" s="60"/>
      <c r="AB1082" s="60"/>
      <c r="AC1082" s="60"/>
      <c r="AD1082" s="60"/>
      <c r="AE1082" s="60"/>
      <c r="AF1082" s="60"/>
      <c r="AG1082" s="60"/>
      <c r="AH1082" s="60"/>
      <c r="AI1082" s="60"/>
      <c r="AJ1082" s="60"/>
    </row>
    <row r="1083" spans="2:36" s="59" customFormat="1">
      <c r="B1083" s="203"/>
      <c r="C1083" s="186"/>
      <c r="D1083" s="186"/>
      <c r="E1083" s="186"/>
      <c r="F1083" s="186"/>
      <c r="G1083" s="186"/>
      <c r="H1083" s="186"/>
      <c r="I1083" s="186"/>
      <c r="J1083" s="186"/>
      <c r="K1083" s="186"/>
      <c r="L1083" s="370"/>
      <c r="M1083" s="370"/>
      <c r="N1083" s="370"/>
      <c r="O1083" s="370"/>
      <c r="P1083" s="370"/>
      <c r="Q1083" s="186"/>
      <c r="R1083" s="186"/>
      <c r="S1083" s="186"/>
      <c r="T1083" s="186"/>
      <c r="U1083" s="186"/>
      <c r="V1083" s="186"/>
      <c r="W1083" s="186"/>
      <c r="X1083" s="186"/>
      <c r="Y1083" s="186"/>
      <c r="Z1083" s="305"/>
      <c r="AA1083" s="60"/>
      <c r="AB1083" s="60"/>
      <c r="AC1083" s="60"/>
      <c r="AD1083" s="60"/>
      <c r="AE1083" s="60"/>
      <c r="AF1083" s="60"/>
      <c r="AG1083" s="60"/>
      <c r="AH1083" s="60"/>
      <c r="AI1083" s="60"/>
      <c r="AJ1083" s="60"/>
    </row>
    <row r="1084" spans="2:36" s="59" customFormat="1">
      <c r="B1084" s="203"/>
      <c r="C1084" s="186"/>
      <c r="D1084" s="186"/>
      <c r="E1084" s="186"/>
      <c r="F1084" s="186"/>
      <c r="G1084" s="186"/>
      <c r="H1084" s="186"/>
      <c r="I1084" s="186"/>
      <c r="J1084" s="186"/>
      <c r="K1084" s="186"/>
      <c r="L1084" s="370"/>
      <c r="M1084" s="370"/>
      <c r="N1084" s="370"/>
      <c r="O1084" s="370"/>
      <c r="P1084" s="370"/>
      <c r="Q1084" s="186"/>
      <c r="R1084" s="186"/>
      <c r="S1084" s="186"/>
      <c r="T1084" s="186"/>
      <c r="U1084" s="186"/>
      <c r="V1084" s="186"/>
      <c r="W1084" s="186"/>
      <c r="X1084" s="186"/>
      <c r="Y1084" s="186"/>
      <c r="Z1084" s="305"/>
      <c r="AA1084" s="60"/>
      <c r="AB1084" s="60"/>
      <c r="AC1084" s="60"/>
      <c r="AD1084" s="60"/>
      <c r="AE1084" s="60"/>
      <c r="AF1084" s="60"/>
      <c r="AG1084" s="60"/>
      <c r="AH1084" s="60"/>
      <c r="AI1084" s="60"/>
      <c r="AJ1084" s="60"/>
    </row>
    <row r="1085" spans="2:36" s="59" customFormat="1">
      <c r="B1085" s="203"/>
      <c r="C1085" s="186"/>
      <c r="D1085" s="186"/>
      <c r="E1085" s="186"/>
      <c r="F1085" s="186"/>
      <c r="G1085" s="186"/>
      <c r="H1085" s="186"/>
      <c r="I1085" s="186"/>
      <c r="J1085" s="186"/>
      <c r="K1085" s="186"/>
      <c r="L1085" s="370"/>
      <c r="M1085" s="370"/>
      <c r="N1085" s="370"/>
      <c r="O1085" s="370"/>
      <c r="P1085" s="370"/>
      <c r="Q1085" s="186"/>
      <c r="R1085" s="186"/>
      <c r="S1085" s="186"/>
      <c r="T1085" s="186"/>
      <c r="U1085" s="186"/>
      <c r="V1085" s="186"/>
      <c r="W1085" s="186"/>
      <c r="X1085" s="186"/>
      <c r="Y1085" s="186"/>
      <c r="Z1085" s="305"/>
      <c r="AA1085" s="60"/>
      <c r="AB1085" s="60"/>
      <c r="AC1085" s="60"/>
      <c r="AD1085" s="60"/>
      <c r="AE1085" s="60"/>
      <c r="AF1085" s="60"/>
      <c r="AG1085" s="60"/>
      <c r="AH1085" s="60"/>
      <c r="AI1085" s="60"/>
      <c r="AJ1085" s="60"/>
    </row>
    <row r="1086" spans="2:36" s="59" customFormat="1">
      <c r="B1086" s="203"/>
      <c r="C1086" s="186"/>
      <c r="D1086" s="186"/>
      <c r="E1086" s="186"/>
      <c r="F1086" s="186"/>
      <c r="G1086" s="186"/>
      <c r="H1086" s="186"/>
      <c r="I1086" s="186"/>
      <c r="J1086" s="186"/>
      <c r="K1086" s="186"/>
      <c r="L1086" s="370"/>
      <c r="M1086" s="370"/>
      <c r="N1086" s="370"/>
      <c r="O1086" s="370"/>
      <c r="P1086" s="370"/>
      <c r="Q1086" s="186"/>
      <c r="R1086" s="186"/>
      <c r="S1086" s="186"/>
      <c r="T1086" s="186"/>
      <c r="U1086" s="186"/>
      <c r="V1086" s="186"/>
      <c r="W1086" s="186"/>
      <c r="X1086" s="186"/>
      <c r="Y1086" s="186"/>
      <c r="Z1086" s="305"/>
      <c r="AA1086" s="60"/>
      <c r="AB1086" s="60"/>
      <c r="AC1086" s="60"/>
      <c r="AD1086" s="60"/>
      <c r="AE1086" s="60"/>
      <c r="AF1086" s="60"/>
      <c r="AG1086" s="60"/>
      <c r="AH1086" s="60"/>
      <c r="AI1086" s="60"/>
      <c r="AJ1086" s="60"/>
    </row>
    <row r="1087" spans="2:36" s="59" customFormat="1">
      <c r="B1087" s="203"/>
      <c r="C1087" s="186"/>
      <c r="D1087" s="186"/>
      <c r="E1087" s="186"/>
      <c r="F1087" s="186"/>
      <c r="G1087" s="186"/>
      <c r="H1087" s="186"/>
      <c r="I1087" s="186"/>
      <c r="J1087" s="186"/>
      <c r="K1087" s="186"/>
      <c r="L1087" s="370"/>
      <c r="M1087" s="370"/>
      <c r="N1087" s="370"/>
      <c r="O1087" s="370"/>
      <c r="P1087" s="370"/>
      <c r="Q1087" s="186"/>
      <c r="R1087" s="186"/>
      <c r="S1087" s="186"/>
      <c r="T1087" s="186"/>
      <c r="U1087" s="186"/>
      <c r="V1087" s="186"/>
      <c r="W1087" s="186"/>
      <c r="X1087" s="186"/>
      <c r="Y1087" s="186"/>
      <c r="Z1087" s="305"/>
      <c r="AA1087" s="60"/>
      <c r="AB1087" s="60"/>
      <c r="AC1087" s="60"/>
      <c r="AD1087" s="60"/>
      <c r="AE1087" s="60"/>
      <c r="AF1087" s="60"/>
      <c r="AG1087" s="60"/>
      <c r="AH1087" s="60"/>
      <c r="AI1087" s="60"/>
      <c r="AJ1087" s="60"/>
    </row>
    <row r="1088" spans="2:36" s="59" customFormat="1">
      <c r="B1088" s="203"/>
      <c r="C1088" s="186"/>
      <c r="D1088" s="186"/>
      <c r="E1088" s="186"/>
      <c r="F1088" s="186"/>
      <c r="G1088" s="186"/>
      <c r="H1088" s="186"/>
      <c r="I1088" s="186"/>
      <c r="J1088" s="186"/>
      <c r="K1088" s="186"/>
      <c r="L1088" s="370"/>
      <c r="M1088" s="370"/>
      <c r="N1088" s="370"/>
      <c r="O1088" s="370"/>
      <c r="P1088" s="370"/>
      <c r="Q1088" s="186"/>
      <c r="R1088" s="186"/>
      <c r="S1088" s="186"/>
      <c r="T1088" s="186"/>
      <c r="U1088" s="186"/>
      <c r="V1088" s="186"/>
      <c r="W1088" s="186"/>
      <c r="X1088" s="186"/>
      <c r="Y1088" s="186"/>
      <c r="Z1088" s="305"/>
      <c r="AA1088" s="60"/>
      <c r="AB1088" s="60"/>
      <c r="AC1088" s="60"/>
      <c r="AD1088" s="60"/>
      <c r="AE1088" s="60"/>
      <c r="AF1088" s="60"/>
      <c r="AG1088" s="60"/>
      <c r="AH1088" s="60"/>
      <c r="AI1088" s="60"/>
      <c r="AJ1088" s="60"/>
    </row>
    <row r="1089" spans="2:36" s="59" customFormat="1">
      <c r="B1089" s="203"/>
      <c r="C1089" s="186"/>
      <c r="D1089" s="186"/>
      <c r="E1089" s="186"/>
      <c r="F1089" s="186"/>
      <c r="G1089" s="186"/>
      <c r="H1089" s="186"/>
      <c r="I1089" s="186"/>
      <c r="J1089" s="186"/>
      <c r="K1089" s="186"/>
      <c r="L1089" s="370"/>
      <c r="M1089" s="370"/>
      <c r="N1089" s="370"/>
      <c r="O1089" s="370"/>
      <c r="P1089" s="370"/>
      <c r="Q1089" s="186"/>
      <c r="R1089" s="186"/>
      <c r="S1089" s="186"/>
      <c r="T1089" s="186"/>
      <c r="U1089" s="186"/>
      <c r="V1089" s="186"/>
      <c r="W1089" s="186"/>
      <c r="X1089" s="186"/>
      <c r="Y1089" s="186"/>
      <c r="Z1089" s="305"/>
      <c r="AA1089" s="60"/>
      <c r="AB1089" s="60"/>
      <c r="AC1089" s="60"/>
      <c r="AD1089" s="60"/>
      <c r="AE1089" s="60"/>
      <c r="AF1089" s="60"/>
      <c r="AG1089" s="60"/>
      <c r="AH1089" s="60"/>
      <c r="AI1089" s="60"/>
      <c r="AJ1089" s="60"/>
    </row>
    <row r="1090" spans="2:36" s="59" customFormat="1">
      <c r="B1090" s="203"/>
      <c r="C1090" s="186"/>
      <c r="D1090" s="186"/>
      <c r="E1090" s="186"/>
      <c r="F1090" s="186"/>
      <c r="G1090" s="186"/>
      <c r="H1090" s="186"/>
      <c r="I1090" s="186"/>
      <c r="J1090" s="186"/>
      <c r="K1090" s="186"/>
      <c r="L1090" s="370"/>
      <c r="M1090" s="370"/>
      <c r="N1090" s="370"/>
      <c r="O1090" s="370"/>
      <c r="P1090" s="370"/>
      <c r="Q1090" s="186"/>
      <c r="R1090" s="186"/>
      <c r="S1090" s="186"/>
      <c r="T1090" s="186"/>
      <c r="U1090" s="186"/>
      <c r="V1090" s="186"/>
      <c r="W1090" s="186"/>
      <c r="X1090" s="186"/>
      <c r="Y1090" s="186"/>
      <c r="Z1090" s="305"/>
      <c r="AA1090" s="60"/>
      <c r="AB1090" s="60"/>
      <c r="AC1090" s="60"/>
      <c r="AD1090" s="60"/>
      <c r="AE1090" s="60"/>
      <c r="AF1090" s="60"/>
      <c r="AG1090" s="60"/>
      <c r="AH1090" s="60"/>
      <c r="AI1090" s="60"/>
      <c r="AJ1090" s="60"/>
    </row>
    <row r="1091" spans="2:36" s="59" customFormat="1">
      <c r="B1091" s="203"/>
      <c r="C1091" s="186"/>
      <c r="D1091" s="186"/>
      <c r="E1091" s="186"/>
      <c r="F1091" s="186"/>
      <c r="G1091" s="186"/>
      <c r="H1091" s="186"/>
      <c r="I1091" s="186"/>
      <c r="J1091" s="186"/>
      <c r="K1091" s="186"/>
      <c r="L1091" s="370"/>
      <c r="M1091" s="370"/>
      <c r="N1091" s="370"/>
      <c r="O1091" s="370"/>
      <c r="P1091" s="370"/>
      <c r="Q1091" s="186"/>
      <c r="R1091" s="186"/>
      <c r="S1091" s="186"/>
      <c r="T1091" s="186"/>
      <c r="U1091" s="186"/>
      <c r="V1091" s="186"/>
      <c r="W1091" s="186"/>
      <c r="X1091" s="186"/>
      <c r="Y1091" s="186"/>
      <c r="Z1091" s="305"/>
      <c r="AA1091" s="60"/>
      <c r="AB1091" s="60"/>
      <c r="AC1091" s="60"/>
      <c r="AD1091" s="60"/>
      <c r="AE1091" s="60"/>
      <c r="AF1091" s="60"/>
      <c r="AG1091" s="60"/>
      <c r="AH1091" s="60"/>
      <c r="AI1091" s="60"/>
      <c r="AJ1091" s="60"/>
    </row>
    <row r="1092" spans="2:36" s="59" customFormat="1">
      <c r="B1092" s="203"/>
      <c r="C1092" s="186"/>
      <c r="D1092" s="186"/>
      <c r="E1092" s="186"/>
      <c r="F1092" s="186"/>
      <c r="G1092" s="186"/>
      <c r="H1092" s="186"/>
      <c r="I1092" s="186"/>
      <c r="J1092" s="186"/>
      <c r="K1092" s="186"/>
      <c r="L1092" s="370"/>
      <c r="M1092" s="370"/>
      <c r="N1092" s="370"/>
      <c r="O1092" s="370"/>
      <c r="P1092" s="370"/>
      <c r="Q1092" s="186"/>
      <c r="R1092" s="186"/>
      <c r="S1092" s="186"/>
      <c r="T1092" s="186"/>
      <c r="U1092" s="186"/>
      <c r="V1092" s="186"/>
      <c r="W1092" s="186"/>
      <c r="X1092" s="186"/>
      <c r="Y1092" s="186"/>
      <c r="Z1092" s="305"/>
      <c r="AA1092" s="60"/>
      <c r="AB1092" s="60"/>
      <c r="AC1092" s="60"/>
      <c r="AD1092" s="60"/>
      <c r="AE1092" s="60"/>
      <c r="AF1092" s="60"/>
      <c r="AG1092" s="60"/>
      <c r="AH1092" s="60"/>
      <c r="AI1092" s="60"/>
      <c r="AJ1092" s="60"/>
    </row>
    <row r="1093" spans="2:36" s="59" customFormat="1">
      <c r="B1093" s="203"/>
      <c r="C1093" s="186"/>
      <c r="D1093" s="186"/>
      <c r="E1093" s="186"/>
      <c r="F1093" s="186"/>
      <c r="G1093" s="186"/>
      <c r="H1093" s="186"/>
      <c r="I1093" s="186"/>
      <c r="J1093" s="186"/>
      <c r="K1093" s="186"/>
      <c r="L1093" s="370"/>
      <c r="M1093" s="370"/>
      <c r="N1093" s="370"/>
      <c r="O1093" s="370"/>
      <c r="P1093" s="370"/>
      <c r="Q1093" s="186"/>
      <c r="R1093" s="186"/>
      <c r="S1093" s="186"/>
      <c r="T1093" s="186"/>
      <c r="U1093" s="186"/>
      <c r="V1093" s="186"/>
      <c r="W1093" s="186"/>
      <c r="X1093" s="186"/>
      <c r="Y1093" s="186"/>
      <c r="Z1093" s="305"/>
      <c r="AA1093" s="60"/>
      <c r="AB1093" s="60"/>
      <c r="AC1093" s="60"/>
      <c r="AD1093" s="60"/>
      <c r="AE1093" s="60"/>
      <c r="AF1093" s="60"/>
      <c r="AG1093" s="60"/>
      <c r="AH1093" s="60"/>
      <c r="AI1093" s="60"/>
      <c r="AJ1093" s="60"/>
    </row>
    <row r="1094" spans="2:36" s="59" customFormat="1">
      <c r="B1094" s="203"/>
      <c r="C1094" s="186"/>
      <c r="D1094" s="186"/>
      <c r="E1094" s="186"/>
      <c r="F1094" s="186"/>
      <c r="G1094" s="186"/>
      <c r="H1094" s="186"/>
      <c r="I1094" s="186"/>
      <c r="J1094" s="186"/>
      <c r="K1094" s="186"/>
      <c r="L1094" s="370"/>
      <c r="M1094" s="370"/>
      <c r="N1094" s="370"/>
      <c r="O1094" s="370"/>
      <c r="P1094" s="370"/>
      <c r="Q1094" s="186"/>
      <c r="R1094" s="186"/>
      <c r="S1094" s="186"/>
      <c r="T1094" s="186"/>
      <c r="U1094" s="186"/>
      <c r="V1094" s="186"/>
      <c r="W1094" s="186"/>
      <c r="X1094" s="186"/>
      <c r="Y1094" s="186"/>
      <c r="Z1094" s="305"/>
      <c r="AA1094" s="60"/>
      <c r="AB1094" s="60"/>
      <c r="AC1094" s="60"/>
      <c r="AD1094" s="60"/>
      <c r="AE1094" s="60"/>
      <c r="AF1094" s="60"/>
      <c r="AG1094" s="60"/>
      <c r="AH1094" s="60"/>
      <c r="AI1094" s="60"/>
      <c r="AJ1094" s="60"/>
    </row>
    <row r="1095" spans="2:36" s="59" customFormat="1">
      <c r="B1095" s="203"/>
      <c r="C1095" s="186"/>
      <c r="D1095" s="186"/>
      <c r="E1095" s="186"/>
      <c r="F1095" s="186"/>
      <c r="G1095" s="186"/>
      <c r="H1095" s="186"/>
      <c r="I1095" s="186"/>
      <c r="J1095" s="186"/>
      <c r="K1095" s="186"/>
      <c r="L1095" s="370"/>
      <c r="M1095" s="370"/>
      <c r="N1095" s="370"/>
      <c r="O1095" s="370"/>
      <c r="P1095" s="370"/>
      <c r="Q1095" s="186"/>
      <c r="R1095" s="186"/>
      <c r="S1095" s="186"/>
      <c r="T1095" s="186"/>
      <c r="U1095" s="186"/>
      <c r="V1095" s="186"/>
      <c r="W1095" s="186"/>
      <c r="X1095" s="186"/>
      <c r="Y1095" s="186"/>
      <c r="Z1095" s="305"/>
      <c r="AA1095" s="60"/>
      <c r="AB1095" s="60"/>
      <c r="AC1095" s="60"/>
      <c r="AD1095" s="60"/>
      <c r="AE1095" s="60"/>
      <c r="AF1095" s="60"/>
      <c r="AG1095" s="60"/>
      <c r="AH1095" s="60"/>
      <c r="AI1095" s="60"/>
      <c r="AJ1095" s="60"/>
    </row>
    <row r="1096" spans="2:36" s="59" customFormat="1">
      <c r="B1096" s="203"/>
      <c r="C1096" s="186"/>
      <c r="D1096" s="186"/>
      <c r="E1096" s="186"/>
      <c r="F1096" s="186"/>
      <c r="G1096" s="186"/>
      <c r="H1096" s="186"/>
      <c r="I1096" s="186"/>
      <c r="J1096" s="186"/>
      <c r="K1096" s="186"/>
      <c r="L1096" s="370"/>
      <c r="M1096" s="370"/>
      <c r="N1096" s="370"/>
      <c r="O1096" s="370"/>
      <c r="P1096" s="370"/>
      <c r="Q1096" s="186"/>
      <c r="R1096" s="186"/>
      <c r="S1096" s="186"/>
      <c r="T1096" s="186"/>
      <c r="U1096" s="186"/>
      <c r="V1096" s="186"/>
      <c r="W1096" s="186"/>
      <c r="X1096" s="186"/>
      <c r="Y1096" s="186"/>
      <c r="Z1096" s="305"/>
      <c r="AA1096" s="60"/>
      <c r="AB1096" s="60"/>
      <c r="AC1096" s="60"/>
      <c r="AD1096" s="60"/>
      <c r="AE1096" s="60"/>
      <c r="AF1096" s="60"/>
      <c r="AG1096" s="60"/>
      <c r="AH1096" s="60"/>
      <c r="AI1096" s="60"/>
      <c r="AJ1096" s="60"/>
    </row>
    <row r="1097" spans="2:36" s="59" customFormat="1">
      <c r="B1097" s="203"/>
      <c r="C1097" s="186"/>
      <c r="D1097" s="186"/>
      <c r="E1097" s="186"/>
      <c r="F1097" s="186"/>
      <c r="G1097" s="186"/>
      <c r="H1097" s="186"/>
      <c r="I1097" s="186"/>
      <c r="J1097" s="186"/>
      <c r="K1097" s="186"/>
      <c r="L1097" s="370"/>
      <c r="M1097" s="370"/>
      <c r="N1097" s="370"/>
      <c r="O1097" s="370"/>
      <c r="P1097" s="370"/>
      <c r="Q1097" s="186"/>
      <c r="R1097" s="186"/>
      <c r="S1097" s="186"/>
      <c r="T1097" s="186"/>
      <c r="U1097" s="186"/>
      <c r="V1097" s="186"/>
      <c r="W1097" s="186"/>
      <c r="X1097" s="186"/>
      <c r="Y1097" s="186"/>
      <c r="Z1097" s="305"/>
      <c r="AA1097" s="60"/>
      <c r="AB1097" s="60"/>
      <c r="AC1097" s="60"/>
      <c r="AD1097" s="60"/>
      <c r="AE1097" s="60"/>
      <c r="AF1097" s="60"/>
      <c r="AG1097" s="60"/>
      <c r="AH1097" s="60"/>
      <c r="AI1097" s="60"/>
      <c r="AJ1097" s="60"/>
    </row>
    <row r="1098" spans="2:36" s="59" customFormat="1">
      <c r="B1098" s="203"/>
      <c r="C1098" s="186"/>
      <c r="D1098" s="186"/>
      <c r="E1098" s="186"/>
      <c r="F1098" s="186"/>
      <c r="G1098" s="186"/>
      <c r="H1098" s="186"/>
      <c r="I1098" s="186"/>
      <c r="J1098" s="186"/>
      <c r="K1098" s="186"/>
      <c r="L1098" s="370"/>
      <c r="M1098" s="370"/>
      <c r="N1098" s="370"/>
      <c r="O1098" s="370"/>
      <c r="P1098" s="370"/>
      <c r="Q1098" s="186"/>
      <c r="R1098" s="186"/>
      <c r="S1098" s="186"/>
      <c r="T1098" s="186"/>
      <c r="U1098" s="186"/>
      <c r="V1098" s="186"/>
      <c r="W1098" s="186"/>
      <c r="X1098" s="186"/>
      <c r="Y1098" s="186"/>
      <c r="Z1098" s="305"/>
      <c r="AA1098" s="60"/>
      <c r="AB1098" s="60"/>
      <c r="AC1098" s="60"/>
      <c r="AD1098" s="60"/>
      <c r="AE1098" s="60"/>
      <c r="AF1098" s="60"/>
      <c r="AG1098" s="60"/>
      <c r="AH1098" s="60"/>
      <c r="AI1098" s="60"/>
      <c r="AJ1098" s="60"/>
    </row>
    <row r="1099" spans="2:36" s="59" customFormat="1">
      <c r="B1099" s="203"/>
      <c r="C1099" s="186"/>
      <c r="D1099" s="186"/>
      <c r="E1099" s="186"/>
      <c r="F1099" s="186"/>
      <c r="G1099" s="186"/>
      <c r="H1099" s="186"/>
      <c r="I1099" s="186"/>
      <c r="J1099" s="186"/>
      <c r="K1099" s="186"/>
      <c r="L1099" s="370"/>
      <c r="M1099" s="370"/>
      <c r="N1099" s="370"/>
      <c r="O1099" s="370"/>
      <c r="P1099" s="370"/>
      <c r="Q1099" s="186"/>
      <c r="R1099" s="186"/>
      <c r="S1099" s="186"/>
      <c r="T1099" s="186"/>
      <c r="U1099" s="186"/>
      <c r="V1099" s="186"/>
      <c r="W1099" s="186"/>
      <c r="X1099" s="186"/>
      <c r="Y1099" s="186"/>
      <c r="Z1099" s="305"/>
      <c r="AA1099" s="60"/>
      <c r="AB1099" s="60"/>
      <c r="AC1099" s="60"/>
      <c r="AD1099" s="60"/>
      <c r="AE1099" s="60"/>
      <c r="AF1099" s="60"/>
      <c r="AG1099" s="60"/>
      <c r="AH1099" s="60"/>
      <c r="AI1099" s="60"/>
      <c r="AJ1099" s="60"/>
    </row>
    <row r="1100" spans="2:36" s="59" customFormat="1">
      <c r="B1100" s="203"/>
      <c r="C1100" s="186"/>
      <c r="D1100" s="186"/>
      <c r="E1100" s="186"/>
      <c r="F1100" s="186"/>
      <c r="G1100" s="186"/>
      <c r="H1100" s="186"/>
      <c r="I1100" s="186"/>
      <c r="J1100" s="186"/>
      <c r="K1100" s="186"/>
      <c r="L1100" s="370"/>
      <c r="M1100" s="370"/>
      <c r="N1100" s="370"/>
      <c r="O1100" s="370"/>
      <c r="P1100" s="370"/>
      <c r="Q1100" s="186"/>
      <c r="R1100" s="186"/>
      <c r="S1100" s="186"/>
      <c r="T1100" s="186"/>
      <c r="U1100" s="186"/>
      <c r="V1100" s="186"/>
      <c r="W1100" s="186"/>
      <c r="X1100" s="186"/>
      <c r="Y1100" s="186"/>
      <c r="Z1100" s="305"/>
      <c r="AA1100" s="60"/>
      <c r="AB1100" s="60"/>
      <c r="AC1100" s="60"/>
      <c r="AD1100" s="60"/>
      <c r="AE1100" s="60"/>
      <c r="AF1100" s="60"/>
      <c r="AG1100" s="60"/>
      <c r="AH1100" s="60"/>
      <c r="AI1100" s="60"/>
      <c r="AJ1100" s="60"/>
    </row>
    <row r="1101" spans="2:36" s="59" customFormat="1">
      <c r="B1101" s="203"/>
      <c r="C1101" s="186"/>
      <c r="D1101" s="186"/>
      <c r="E1101" s="186"/>
      <c r="F1101" s="186"/>
      <c r="G1101" s="186"/>
      <c r="H1101" s="186"/>
      <c r="I1101" s="186"/>
      <c r="J1101" s="186"/>
      <c r="K1101" s="186"/>
      <c r="L1101" s="370"/>
      <c r="M1101" s="370"/>
      <c r="N1101" s="370"/>
      <c r="O1101" s="370"/>
      <c r="P1101" s="370"/>
      <c r="Q1101" s="186"/>
      <c r="R1101" s="186"/>
      <c r="S1101" s="186"/>
      <c r="T1101" s="186"/>
      <c r="U1101" s="186"/>
      <c r="V1101" s="186"/>
      <c r="W1101" s="186"/>
      <c r="X1101" s="186"/>
      <c r="Y1101" s="186"/>
      <c r="Z1101" s="305"/>
      <c r="AA1101" s="60"/>
      <c r="AB1101" s="60"/>
      <c r="AC1101" s="60"/>
      <c r="AD1101" s="60"/>
      <c r="AE1101" s="60"/>
      <c r="AF1101" s="60"/>
      <c r="AG1101" s="60"/>
      <c r="AH1101" s="60"/>
      <c r="AI1101" s="60"/>
      <c r="AJ1101" s="60"/>
    </row>
    <row r="1102" spans="2:36" s="59" customFormat="1">
      <c r="B1102" s="203"/>
      <c r="C1102" s="186"/>
      <c r="D1102" s="186"/>
      <c r="E1102" s="186"/>
      <c r="F1102" s="186"/>
      <c r="G1102" s="186"/>
      <c r="H1102" s="186"/>
      <c r="I1102" s="186"/>
      <c r="J1102" s="186"/>
      <c r="K1102" s="186"/>
      <c r="L1102" s="370"/>
      <c r="M1102" s="370"/>
      <c r="N1102" s="370"/>
      <c r="O1102" s="370"/>
      <c r="P1102" s="370"/>
      <c r="Q1102" s="186"/>
      <c r="R1102" s="186"/>
      <c r="S1102" s="186"/>
      <c r="T1102" s="186"/>
      <c r="U1102" s="186"/>
      <c r="V1102" s="186"/>
      <c r="W1102" s="186"/>
      <c r="X1102" s="186"/>
      <c r="Y1102" s="186"/>
      <c r="Z1102" s="305"/>
      <c r="AA1102" s="60"/>
      <c r="AB1102" s="60"/>
      <c r="AC1102" s="60"/>
      <c r="AD1102" s="60"/>
      <c r="AE1102" s="60"/>
      <c r="AF1102" s="60"/>
      <c r="AG1102" s="60"/>
      <c r="AH1102" s="60"/>
      <c r="AI1102" s="60"/>
      <c r="AJ1102" s="60"/>
    </row>
    <row r="1103" spans="2:36" s="59" customFormat="1">
      <c r="B1103" s="203"/>
      <c r="C1103" s="186"/>
      <c r="D1103" s="186"/>
      <c r="E1103" s="186"/>
      <c r="F1103" s="186"/>
      <c r="G1103" s="186"/>
      <c r="H1103" s="186"/>
      <c r="I1103" s="186"/>
      <c r="J1103" s="186"/>
      <c r="K1103" s="186"/>
      <c r="L1103" s="370"/>
      <c r="M1103" s="370"/>
      <c r="N1103" s="370"/>
      <c r="O1103" s="370"/>
      <c r="P1103" s="370"/>
      <c r="Q1103" s="186"/>
      <c r="R1103" s="186"/>
      <c r="S1103" s="186"/>
      <c r="T1103" s="186"/>
      <c r="U1103" s="186"/>
      <c r="V1103" s="186"/>
      <c r="W1103" s="186"/>
      <c r="X1103" s="186"/>
      <c r="Y1103" s="186"/>
      <c r="Z1103" s="305"/>
      <c r="AA1103" s="60"/>
      <c r="AB1103" s="60"/>
      <c r="AC1103" s="60"/>
      <c r="AD1103" s="60"/>
      <c r="AE1103" s="60"/>
      <c r="AF1103" s="60"/>
      <c r="AG1103" s="60"/>
      <c r="AH1103" s="60"/>
      <c r="AI1103" s="60"/>
      <c r="AJ1103" s="60"/>
    </row>
    <row r="1104" spans="2:36" s="59" customFormat="1">
      <c r="B1104" s="203"/>
      <c r="C1104" s="186"/>
      <c r="D1104" s="186"/>
      <c r="E1104" s="186"/>
      <c r="F1104" s="186"/>
      <c r="G1104" s="186"/>
      <c r="H1104" s="186"/>
      <c r="I1104" s="186"/>
      <c r="J1104" s="186"/>
      <c r="K1104" s="186"/>
      <c r="L1104" s="370"/>
      <c r="M1104" s="370"/>
      <c r="N1104" s="370"/>
      <c r="O1104" s="370"/>
      <c r="P1104" s="370"/>
      <c r="Q1104" s="186"/>
      <c r="R1104" s="186"/>
      <c r="S1104" s="186"/>
      <c r="T1104" s="186"/>
      <c r="U1104" s="186"/>
      <c r="V1104" s="186"/>
      <c r="W1104" s="186"/>
      <c r="X1104" s="186"/>
      <c r="Y1104" s="186"/>
      <c r="Z1104" s="305"/>
      <c r="AA1104" s="60"/>
      <c r="AB1104" s="60"/>
      <c r="AC1104" s="60"/>
      <c r="AD1104" s="60"/>
      <c r="AE1104" s="60"/>
      <c r="AF1104" s="60"/>
      <c r="AG1104" s="60"/>
      <c r="AH1104" s="60"/>
      <c r="AI1104" s="60"/>
      <c r="AJ1104" s="60"/>
    </row>
    <row r="1105" spans="2:36" s="59" customFormat="1">
      <c r="B1105" s="203"/>
      <c r="C1105" s="186"/>
      <c r="D1105" s="186"/>
      <c r="E1105" s="186"/>
      <c r="F1105" s="186"/>
      <c r="G1105" s="186"/>
      <c r="H1105" s="186"/>
      <c r="I1105" s="186"/>
      <c r="J1105" s="186"/>
      <c r="K1105" s="186"/>
      <c r="L1105" s="370"/>
      <c r="M1105" s="370"/>
      <c r="N1105" s="370"/>
      <c r="O1105" s="370"/>
      <c r="P1105" s="370"/>
      <c r="Q1105" s="186"/>
      <c r="R1105" s="186"/>
      <c r="S1105" s="186"/>
      <c r="T1105" s="186"/>
      <c r="U1105" s="186"/>
      <c r="V1105" s="186"/>
      <c r="W1105" s="186"/>
      <c r="X1105" s="186"/>
      <c r="Y1105" s="186"/>
      <c r="Z1105" s="305"/>
      <c r="AA1105" s="60"/>
      <c r="AB1105" s="60"/>
      <c r="AC1105" s="60"/>
      <c r="AD1105" s="60"/>
      <c r="AE1105" s="60"/>
      <c r="AF1105" s="60"/>
      <c r="AG1105" s="60"/>
      <c r="AH1105" s="60"/>
      <c r="AI1105" s="60"/>
      <c r="AJ1105" s="60"/>
    </row>
    <row r="1106" spans="2:36" s="59" customFormat="1">
      <c r="B1106" s="203"/>
      <c r="C1106" s="186"/>
      <c r="D1106" s="186"/>
      <c r="E1106" s="186"/>
      <c r="F1106" s="186"/>
      <c r="G1106" s="186"/>
      <c r="H1106" s="186"/>
      <c r="I1106" s="186"/>
      <c r="J1106" s="186"/>
      <c r="K1106" s="186"/>
      <c r="L1106" s="370"/>
      <c r="M1106" s="370"/>
      <c r="N1106" s="370"/>
      <c r="O1106" s="370"/>
      <c r="P1106" s="370"/>
      <c r="Q1106" s="186"/>
      <c r="R1106" s="186"/>
      <c r="S1106" s="186"/>
      <c r="T1106" s="186"/>
      <c r="U1106" s="186"/>
      <c r="V1106" s="186"/>
      <c r="W1106" s="186"/>
      <c r="X1106" s="186"/>
      <c r="Y1106" s="186"/>
      <c r="Z1106" s="305"/>
      <c r="AA1106" s="60"/>
      <c r="AB1106" s="60"/>
      <c r="AC1106" s="60"/>
      <c r="AD1106" s="60"/>
      <c r="AE1106" s="60"/>
      <c r="AF1106" s="60"/>
      <c r="AG1106" s="60"/>
      <c r="AH1106" s="60"/>
      <c r="AI1106" s="60"/>
      <c r="AJ1106" s="60"/>
    </row>
    <row r="1107" spans="2:36" s="59" customFormat="1">
      <c r="B1107" s="203"/>
      <c r="C1107" s="186"/>
      <c r="D1107" s="186"/>
      <c r="E1107" s="186"/>
      <c r="F1107" s="186"/>
      <c r="G1107" s="186"/>
      <c r="H1107" s="186"/>
      <c r="I1107" s="186"/>
      <c r="J1107" s="186"/>
      <c r="K1107" s="186"/>
      <c r="L1107" s="370"/>
      <c r="M1107" s="370"/>
      <c r="N1107" s="370"/>
      <c r="O1107" s="370"/>
      <c r="P1107" s="370"/>
      <c r="Q1107" s="186"/>
      <c r="R1107" s="186"/>
      <c r="S1107" s="186"/>
      <c r="T1107" s="186"/>
      <c r="U1107" s="186"/>
      <c r="V1107" s="186"/>
      <c r="W1107" s="186"/>
      <c r="X1107" s="186"/>
      <c r="Y1107" s="186"/>
      <c r="Z1107" s="305"/>
      <c r="AA1107" s="60"/>
      <c r="AB1107" s="60"/>
      <c r="AC1107" s="60"/>
      <c r="AD1107" s="60"/>
      <c r="AE1107" s="60"/>
      <c r="AF1107" s="60"/>
      <c r="AG1107" s="60"/>
      <c r="AH1107" s="60"/>
      <c r="AI1107" s="60"/>
      <c r="AJ1107" s="60"/>
    </row>
    <row r="1108" spans="2:36" s="59" customFormat="1">
      <c r="B1108" s="203"/>
      <c r="C1108" s="186"/>
      <c r="D1108" s="186"/>
      <c r="E1108" s="186"/>
      <c r="F1108" s="186"/>
      <c r="G1108" s="186"/>
      <c r="H1108" s="186"/>
      <c r="I1108" s="186"/>
      <c r="J1108" s="186"/>
      <c r="K1108" s="186"/>
      <c r="L1108" s="370"/>
      <c r="M1108" s="370"/>
      <c r="N1108" s="370"/>
      <c r="O1108" s="370"/>
      <c r="P1108" s="370"/>
      <c r="Q1108" s="186"/>
      <c r="R1108" s="186"/>
      <c r="S1108" s="186"/>
      <c r="T1108" s="186"/>
      <c r="U1108" s="186"/>
      <c r="V1108" s="186"/>
      <c r="W1108" s="186"/>
      <c r="X1108" s="186"/>
      <c r="Y1108" s="186"/>
      <c r="Z1108" s="305"/>
      <c r="AA1108" s="60"/>
      <c r="AB1108" s="60"/>
      <c r="AC1108" s="60"/>
      <c r="AD1108" s="60"/>
      <c r="AE1108" s="60"/>
      <c r="AF1108" s="60"/>
      <c r="AG1108" s="60"/>
      <c r="AH1108" s="60"/>
      <c r="AI1108" s="60"/>
      <c r="AJ1108" s="60"/>
    </row>
    <row r="1109" spans="2:36" s="59" customFormat="1">
      <c r="B1109" s="203"/>
      <c r="C1109" s="186"/>
      <c r="D1109" s="186"/>
      <c r="E1109" s="186"/>
      <c r="F1109" s="186"/>
      <c r="G1109" s="186"/>
      <c r="H1109" s="186"/>
      <c r="I1109" s="186"/>
      <c r="J1109" s="186"/>
      <c r="K1109" s="186"/>
      <c r="L1109" s="370"/>
      <c r="M1109" s="370"/>
      <c r="N1109" s="370"/>
      <c r="O1109" s="370"/>
      <c r="P1109" s="370"/>
      <c r="Q1109" s="186"/>
      <c r="R1109" s="186"/>
      <c r="S1109" s="186"/>
      <c r="T1109" s="186"/>
      <c r="U1109" s="186"/>
      <c r="V1109" s="186"/>
      <c r="W1109" s="186"/>
      <c r="X1109" s="186"/>
      <c r="Y1109" s="186"/>
      <c r="Z1109" s="305"/>
      <c r="AA1109" s="60"/>
      <c r="AB1109" s="60"/>
      <c r="AC1109" s="60"/>
      <c r="AD1109" s="60"/>
      <c r="AE1109" s="60"/>
      <c r="AF1109" s="60"/>
      <c r="AG1109" s="60"/>
      <c r="AH1109" s="60"/>
      <c r="AI1109" s="60"/>
      <c r="AJ1109" s="60"/>
    </row>
    <row r="1110" spans="2:36" s="59" customFormat="1">
      <c r="B1110" s="203"/>
      <c r="C1110" s="186"/>
      <c r="D1110" s="186"/>
      <c r="E1110" s="186"/>
      <c r="F1110" s="186"/>
      <c r="G1110" s="186"/>
      <c r="H1110" s="186"/>
      <c r="I1110" s="186"/>
      <c r="J1110" s="186"/>
      <c r="K1110" s="186"/>
      <c r="L1110" s="370"/>
      <c r="M1110" s="370"/>
      <c r="N1110" s="370"/>
      <c r="O1110" s="370"/>
      <c r="P1110" s="370"/>
      <c r="Q1110" s="186"/>
      <c r="R1110" s="186"/>
      <c r="S1110" s="186"/>
      <c r="T1110" s="186"/>
      <c r="U1110" s="186"/>
      <c r="V1110" s="186"/>
      <c r="W1110" s="186"/>
      <c r="X1110" s="186"/>
      <c r="Y1110" s="186"/>
      <c r="Z1110" s="305"/>
      <c r="AA1110" s="60"/>
      <c r="AB1110" s="60"/>
      <c r="AC1110" s="60"/>
      <c r="AD1110" s="60"/>
      <c r="AE1110" s="60"/>
      <c r="AF1110" s="60"/>
      <c r="AG1110" s="60"/>
      <c r="AH1110" s="60"/>
      <c r="AI1110" s="60"/>
      <c r="AJ1110" s="60"/>
    </row>
    <row r="1111" spans="2:36" s="59" customFormat="1">
      <c r="B1111" s="203"/>
      <c r="C1111" s="186"/>
      <c r="D1111" s="186"/>
      <c r="E1111" s="186"/>
      <c r="F1111" s="186"/>
      <c r="G1111" s="186"/>
      <c r="H1111" s="186"/>
      <c r="I1111" s="186"/>
      <c r="J1111" s="186"/>
      <c r="K1111" s="186"/>
      <c r="L1111" s="370"/>
      <c r="M1111" s="370"/>
      <c r="N1111" s="370"/>
      <c r="O1111" s="370"/>
      <c r="P1111" s="370"/>
      <c r="Q1111" s="186"/>
      <c r="R1111" s="186"/>
      <c r="S1111" s="186"/>
      <c r="T1111" s="186"/>
      <c r="U1111" s="186"/>
      <c r="V1111" s="186"/>
      <c r="W1111" s="186"/>
      <c r="X1111" s="186"/>
      <c r="Y1111" s="186"/>
      <c r="Z1111" s="305"/>
      <c r="AA1111" s="60"/>
      <c r="AB1111" s="60"/>
      <c r="AC1111" s="60"/>
      <c r="AD1111" s="60"/>
      <c r="AE1111" s="60"/>
      <c r="AF1111" s="60"/>
      <c r="AG1111" s="60"/>
      <c r="AH1111" s="60"/>
      <c r="AI1111" s="60"/>
      <c r="AJ1111" s="60"/>
    </row>
    <row r="1112" spans="2:36" s="59" customFormat="1">
      <c r="B1112" s="203"/>
      <c r="C1112" s="186"/>
      <c r="D1112" s="186"/>
      <c r="E1112" s="186"/>
      <c r="F1112" s="186"/>
      <c r="G1112" s="186"/>
      <c r="H1112" s="186"/>
      <c r="I1112" s="186"/>
      <c r="J1112" s="186"/>
      <c r="K1112" s="186"/>
      <c r="L1112" s="370"/>
      <c r="M1112" s="370"/>
      <c r="N1112" s="370"/>
      <c r="O1112" s="370"/>
      <c r="P1112" s="370"/>
      <c r="Q1112" s="186"/>
      <c r="R1112" s="186"/>
      <c r="S1112" s="186"/>
      <c r="T1112" s="186"/>
      <c r="U1112" s="186"/>
      <c r="V1112" s="186"/>
      <c r="W1112" s="186"/>
      <c r="X1112" s="186"/>
      <c r="Y1112" s="186"/>
      <c r="Z1112" s="305"/>
      <c r="AA1112" s="60"/>
      <c r="AB1112" s="60"/>
      <c r="AC1112" s="60"/>
      <c r="AD1112" s="60"/>
      <c r="AE1112" s="60"/>
      <c r="AF1112" s="60"/>
      <c r="AG1112" s="60"/>
      <c r="AH1112" s="60"/>
      <c r="AI1112" s="60"/>
      <c r="AJ1112" s="60"/>
    </row>
    <row r="1113" spans="2:36" s="59" customFormat="1">
      <c r="B1113" s="203"/>
      <c r="C1113" s="186"/>
      <c r="D1113" s="186"/>
      <c r="E1113" s="186"/>
      <c r="F1113" s="186"/>
      <c r="G1113" s="186"/>
      <c r="H1113" s="186"/>
      <c r="I1113" s="186"/>
      <c r="J1113" s="186"/>
      <c r="K1113" s="186"/>
      <c r="L1113" s="370"/>
      <c r="M1113" s="370"/>
      <c r="N1113" s="370"/>
      <c r="O1113" s="370"/>
      <c r="P1113" s="370"/>
      <c r="Q1113" s="186"/>
      <c r="R1113" s="186"/>
      <c r="S1113" s="186"/>
      <c r="T1113" s="186"/>
      <c r="U1113" s="186"/>
      <c r="V1113" s="186"/>
      <c r="W1113" s="186"/>
      <c r="X1113" s="186"/>
      <c r="Y1113" s="186"/>
      <c r="Z1113" s="305"/>
      <c r="AA1113" s="60"/>
      <c r="AB1113" s="60"/>
      <c r="AC1113" s="60"/>
      <c r="AD1113" s="60"/>
      <c r="AE1113" s="60"/>
      <c r="AF1113" s="60"/>
      <c r="AG1113" s="60"/>
      <c r="AH1113" s="60"/>
      <c r="AI1113" s="60"/>
      <c r="AJ1113" s="60"/>
    </row>
    <row r="1114" spans="2:36" s="59" customFormat="1">
      <c r="B1114" s="203"/>
      <c r="C1114" s="186"/>
      <c r="D1114" s="186"/>
      <c r="E1114" s="186"/>
      <c r="F1114" s="186"/>
      <c r="G1114" s="186"/>
      <c r="H1114" s="186"/>
      <c r="I1114" s="186"/>
      <c r="J1114" s="186"/>
      <c r="K1114" s="186"/>
      <c r="L1114" s="370"/>
      <c r="M1114" s="370"/>
      <c r="N1114" s="370"/>
      <c r="O1114" s="370"/>
      <c r="P1114" s="370"/>
      <c r="Q1114" s="186"/>
      <c r="R1114" s="186"/>
      <c r="S1114" s="186"/>
      <c r="T1114" s="186"/>
      <c r="U1114" s="186"/>
      <c r="V1114" s="186"/>
      <c r="W1114" s="186"/>
      <c r="X1114" s="186"/>
      <c r="Y1114" s="186"/>
      <c r="Z1114" s="305"/>
      <c r="AA1114" s="60"/>
      <c r="AB1114" s="60"/>
      <c r="AC1114" s="60"/>
      <c r="AD1114" s="60"/>
      <c r="AE1114" s="60"/>
      <c r="AF1114" s="60"/>
      <c r="AG1114" s="60"/>
      <c r="AH1114" s="60"/>
      <c r="AI1114" s="60"/>
      <c r="AJ1114" s="60"/>
    </row>
    <row r="1115" spans="2:36" s="59" customFormat="1">
      <c r="B1115" s="203"/>
      <c r="C1115" s="186"/>
      <c r="D1115" s="186"/>
      <c r="E1115" s="186"/>
      <c r="F1115" s="186"/>
      <c r="G1115" s="186"/>
      <c r="H1115" s="186"/>
      <c r="I1115" s="186"/>
      <c r="J1115" s="186"/>
      <c r="K1115" s="186"/>
      <c r="L1115" s="370"/>
      <c r="M1115" s="370"/>
      <c r="N1115" s="370"/>
      <c r="O1115" s="370"/>
      <c r="P1115" s="370"/>
      <c r="Q1115" s="186"/>
      <c r="R1115" s="186"/>
      <c r="S1115" s="186"/>
      <c r="T1115" s="186"/>
      <c r="U1115" s="186"/>
      <c r="V1115" s="186"/>
      <c r="W1115" s="186"/>
      <c r="X1115" s="186"/>
      <c r="Y1115" s="186"/>
      <c r="Z1115" s="305"/>
      <c r="AA1115" s="60"/>
      <c r="AB1115" s="60"/>
      <c r="AC1115" s="60"/>
      <c r="AD1115" s="60"/>
      <c r="AE1115" s="60"/>
      <c r="AF1115" s="60"/>
      <c r="AG1115" s="60"/>
      <c r="AH1115" s="60"/>
      <c r="AI1115" s="60"/>
      <c r="AJ1115" s="60"/>
    </row>
    <row r="1116" spans="2:36" s="59" customFormat="1">
      <c r="B1116" s="203"/>
      <c r="C1116" s="186"/>
      <c r="D1116" s="186"/>
      <c r="E1116" s="186"/>
      <c r="F1116" s="186"/>
      <c r="G1116" s="186"/>
      <c r="H1116" s="186"/>
      <c r="I1116" s="186"/>
      <c r="J1116" s="186"/>
      <c r="K1116" s="186"/>
      <c r="L1116" s="370"/>
      <c r="M1116" s="370"/>
      <c r="N1116" s="370"/>
      <c r="O1116" s="370"/>
      <c r="P1116" s="370"/>
      <c r="Q1116" s="186"/>
      <c r="R1116" s="186"/>
      <c r="S1116" s="186"/>
      <c r="T1116" s="186"/>
      <c r="U1116" s="186"/>
      <c r="V1116" s="186"/>
      <c r="W1116" s="186"/>
      <c r="X1116" s="186"/>
      <c r="Y1116" s="186"/>
      <c r="Z1116" s="305"/>
      <c r="AA1116" s="60"/>
      <c r="AB1116" s="60"/>
      <c r="AC1116" s="60"/>
      <c r="AD1116" s="60"/>
      <c r="AE1116" s="60"/>
      <c r="AF1116" s="60"/>
      <c r="AG1116" s="60"/>
      <c r="AH1116" s="60"/>
      <c r="AI1116" s="60"/>
      <c r="AJ1116" s="60"/>
    </row>
    <row r="1117" spans="2:36" s="59" customFormat="1">
      <c r="B1117" s="203"/>
      <c r="C1117" s="186"/>
      <c r="D1117" s="186"/>
      <c r="E1117" s="186"/>
      <c r="F1117" s="186"/>
      <c r="G1117" s="186"/>
      <c r="H1117" s="186"/>
      <c r="I1117" s="186"/>
      <c r="J1117" s="186"/>
      <c r="K1117" s="186"/>
      <c r="L1117" s="370"/>
      <c r="M1117" s="370"/>
      <c r="N1117" s="370"/>
      <c r="O1117" s="370"/>
      <c r="P1117" s="370"/>
      <c r="Q1117" s="186"/>
      <c r="R1117" s="186"/>
      <c r="S1117" s="186"/>
      <c r="T1117" s="186"/>
      <c r="U1117" s="186"/>
      <c r="V1117" s="186"/>
      <c r="W1117" s="186"/>
      <c r="X1117" s="186"/>
      <c r="Y1117" s="186"/>
      <c r="Z1117" s="305"/>
      <c r="AA1117" s="60"/>
      <c r="AB1117" s="60"/>
      <c r="AC1117" s="60"/>
      <c r="AD1117" s="60"/>
      <c r="AE1117" s="60"/>
      <c r="AF1117" s="60"/>
      <c r="AG1117" s="60"/>
      <c r="AH1117" s="60"/>
      <c r="AI1117" s="60"/>
      <c r="AJ1117" s="60"/>
    </row>
    <row r="1118" spans="2:36" s="59" customFormat="1">
      <c r="B1118" s="203"/>
      <c r="C1118" s="186"/>
      <c r="D1118" s="186"/>
      <c r="E1118" s="186"/>
      <c r="F1118" s="186"/>
      <c r="G1118" s="186"/>
      <c r="H1118" s="186"/>
      <c r="I1118" s="186"/>
      <c r="J1118" s="186"/>
      <c r="K1118" s="186"/>
      <c r="L1118" s="370"/>
      <c r="M1118" s="370"/>
      <c r="N1118" s="370"/>
      <c r="O1118" s="370"/>
      <c r="P1118" s="370"/>
      <c r="Q1118" s="186"/>
      <c r="R1118" s="186"/>
      <c r="S1118" s="186"/>
      <c r="T1118" s="186"/>
      <c r="U1118" s="186"/>
      <c r="V1118" s="186"/>
      <c r="W1118" s="186"/>
      <c r="X1118" s="186"/>
      <c r="Y1118" s="186"/>
      <c r="Z1118" s="305"/>
      <c r="AA1118" s="60"/>
      <c r="AB1118" s="60"/>
      <c r="AC1118" s="60"/>
      <c r="AD1118" s="60"/>
      <c r="AE1118" s="60"/>
      <c r="AF1118" s="60"/>
      <c r="AG1118" s="60"/>
      <c r="AH1118" s="60"/>
      <c r="AI1118" s="60"/>
      <c r="AJ1118" s="60"/>
    </row>
    <row r="1119" spans="2:36" s="59" customFormat="1">
      <c r="B1119" s="203"/>
      <c r="C1119" s="186"/>
      <c r="D1119" s="186"/>
      <c r="E1119" s="186"/>
      <c r="F1119" s="186"/>
      <c r="G1119" s="186"/>
      <c r="H1119" s="186"/>
      <c r="I1119" s="186"/>
      <c r="J1119" s="186"/>
      <c r="K1119" s="186"/>
      <c r="L1119" s="370"/>
      <c r="M1119" s="370"/>
      <c r="N1119" s="370"/>
      <c r="O1119" s="370"/>
      <c r="P1119" s="370"/>
      <c r="Q1119" s="186"/>
      <c r="R1119" s="186"/>
      <c r="S1119" s="186"/>
      <c r="T1119" s="186"/>
      <c r="U1119" s="186"/>
      <c r="V1119" s="186"/>
      <c r="W1119" s="186"/>
      <c r="X1119" s="186"/>
      <c r="Y1119" s="186"/>
      <c r="Z1119" s="305"/>
      <c r="AA1119" s="60"/>
      <c r="AB1119" s="60"/>
      <c r="AC1119" s="60"/>
      <c r="AD1119" s="60"/>
      <c r="AE1119" s="60"/>
      <c r="AF1119" s="60"/>
      <c r="AG1119" s="60"/>
      <c r="AH1119" s="60"/>
      <c r="AI1119" s="60"/>
      <c r="AJ1119" s="60"/>
    </row>
    <row r="1120" spans="2:36" s="59" customFormat="1">
      <c r="B1120" s="203"/>
      <c r="C1120" s="186"/>
      <c r="D1120" s="186"/>
      <c r="E1120" s="186"/>
      <c r="F1120" s="186"/>
      <c r="G1120" s="186"/>
      <c r="H1120" s="186"/>
      <c r="I1120" s="186"/>
      <c r="J1120" s="186"/>
      <c r="K1120" s="186"/>
      <c r="L1120" s="370"/>
      <c r="M1120" s="370"/>
      <c r="N1120" s="370"/>
      <c r="O1120" s="370"/>
      <c r="P1120" s="370"/>
      <c r="Q1120" s="186"/>
      <c r="R1120" s="186"/>
      <c r="S1120" s="186"/>
      <c r="T1120" s="186"/>
      <c r="U1120" s="186"/>
      <c r="V1120" s="186"/>
      <c r="W1120" s="186"/>
      <c r="X1120" s="186"/>
      <c r="Y1120" s="186"/>
      <c r="Z1120" s="305"/>
      <c r="AA1120" s="60"/>
      <c r="AB1120" s="60"/>
      <c r="AC1120" s="60"/>
      <c r="AD1120" s="60"/>
      <c r="AE1120" s="60"/>
      <c r="AF1120" s="60"/>
      <c r="AG1120" s="60"/>
      <c r="AH1120" s="60"/>
      <c r="AI1120" s="60"/>
      <c r="AJ1120" s="60"/>
    </row>
    <row r="1121" spans="2:36" s="59" customFormat="1">
      <c r="B1121" s="203"/>
      <c r="C1121" s="186"/>
      <c r="D1121" s="186"/>
      <c r="E1121" s="186"/>
      <c r="F1121" s="186"/>
      <c r="G1121" s="186"/>
      <c r="H1121" s="186"/>
      <c r="I1121" s="186"/>
      <c r="J1121" s="186"/>
      <c r="K1121" s="186"/>
      <c r="L1121" s="370"/>
      <c r="M1121" s="370"/>
      <c r="N1121" s="370"/>
      <c r="O1121" s="370"/>
      <c r="P1121" s="370"/>
      <c r="Q1121" s="186"/>
      <c r="R1121" s="186"/>
      <c r="S1121" s="186"/>
      <c r="T1121" s="186"/>
      <c r="U1121" s="186"/>
      <c r="V1121" s="186"/>
      <c r="W1121" s="186"/>
      <c r="X1121" s="186"/>
      <c r="Y1121" s="186"/>
      <c r="Z1121" s="305"/>
      <c r="AA1121" s="60"/>
      <c r="AB1121" s="60"/>
      <c r="AC1121" s="60"/>
      <c r="AD1121" s="60"/>
      <c r="AE1121" s="60"/>
      <c r="AF1121" s="60"/>
      <c r="AG1121" s="60"/>
      <c r="AH1121" s="60"/>
      <c r="AI1121" s="60"/>
      <c r="AJ1121" s="60"/>
    </row>
    <row r="1122" spans="2:36" s="59" customFormat="1">
      <c r="B1122" s="203"/>
      <c r="C1122" s="186"/>
      <c r="D1122" s="186"/>
      <c r="E1122" s="186"/>
      <c r="F1122" s="186"/>
      <c r="G1122" s="186"/>
      <c r="H1122" s="186"/>
      <c r="I1122" s="186"/>
      <c r="J1122" s="186"/>
      <c r="K1122" s="186"/>
      <c r="L1122" s="370"/>
      <c r="M1122" s="370"/>
      <c r="N1122" s="370"/>
      <c r="O1122" s="370"/>
      <c r="P1122" s="370"/>
      <c r="Q1122" s="186"/>
      <c r="R1122" s="186"/>
      <c r="S1122" s="186"/>
      <c r="T1122" s="186"/>
      <c r="U1122" s="186"/>
      <c r="V1122" s="186"/>
      <c r="W1122" s="186"/>
      <c r="X1122" s="186"/>
      <c r="Y1122" s="186"/>
      <c r="Z1122" s="305"/>
      <c r="AA1122" s="60"/>
      <c r="AB1122" s="60"/>
      <c r="AC1122" s="60"/>
      <c r="AD1122" s="60"/>
      <c r="AE1122" s="60"/>
      <c r="AF1122" s="60"/>
      <c r="AG1122" s="60"/>
      <c r="AH1122" s="60"/>
      <c r="AI1122" s="60"/>
      <c r="AJ1122" s="60"/>
    </row>
    <row r="1123" spans="2:36" s="59" customFormat="1">
      <c r="B1123" s="203"/>
      <c r="C1123" s="186"/>
      <c r="D1123" s="186"/>
      <c r="E1123" s="186"/>
      <c r="F1123" s="186"/>
      <c r="G1123" s="186"/>
      <c r="H1123" s="186"/>
      <c r="I1123" s="186"/>
      <c r="J1123" s="186"/>
      <c r="K1123" s="186"/>
      <c r="L1123" s="370"/>
      <c r="M1123" s="370"/>
      <c r="N1123" s="370"/>
      <c r="O1123" s="370"/>
      <c r="P1123" s="370"/>
      <c r="Q1123" s="186"/>
      <c r="R1123" s="186"/>
      <c r="S1123" s="186"/>
      <c r="T1123" s="186"/>
      <c r="U1123" s="186"/>
      <c r="V1123" s="186"/>
      <c r="W1123" s="186"/>
      <c r="X1123" s="186"/>
      <c r="Y1123" s="186"/>
      <c r="Z1123" s="305"/>
      <c r="AA1123" s="60"/>
      <c r="AB1123" s="60"/>
      <c r="AC1123" s="60"/>
      <c r="AD1123" s="60"/>
      <c r="AE1123" s="60"/>
      <c r="AF1123" s="60"/>
      <c r="AG1123" s="60"/>
      <c r="AH1123" s="60"/>
      <c r="AI1123" s="60"/>
      <c r="AJ1123" s="60"/>
    </row>
    <row r="1124" spans="2:36" s="59" customFormat="1">
      <c r="B1124" s="203"/>
      <c r="C1124" s="186"/>
      <c r="D1124" s="186"/>
      <c r="E1124" s="186"/>
      <c r="F1124" s="186"/>
      <c r="G1124" s="186"/>
      <c r="H1124" s="186"/>
      <c r="I1124" s="186"/>
      <c r="J1124" s="186"/>
      <c r="K1124" s="186"/>
      <c r="L1124" s="370"/>
      <c r="M1124" s="370"/>
      <c r="N1124" s="370"/>
      <c r="O1124" s="370"/>
      <c r="P1124" s="370"/>
      <c r="Q1124" s="186"/>
      <c r="R1124" s="186"/>
      <c r="S1124" s="186"/>
      <c r="T1124" s="186"/>
      <c r="U1124" s="186"/>
      <c r="V1124" s="186"/>
      <c r="W1124" s="186"/>
      <c r="X1124" s="186"/>
      <c r="Y1124" s="186"/>
      <c r="Z1124" s="305"/>
      <c r="AA1124" s="60"/>
      <c r="AB1124" s="60"/>
      <c r="AC1124" s="60"/>
      <c r="AD1124" s="60"/>
      <c r="AE1124" s="60"/>
      <c r="AF1124" s="60"/>
      <c r="AG1124" s="60"/>
      <c r="AH1124" s="60"/>
      <c r="AI1124" s="60"/>
      <c r="AJ1124" s="60"/>
    </row>
    <row r="1125" spans="2:36" s="59" customFormat="1">
      <c r="B1125" s="203"/>
      <c r="C1125" s="186"/>
      <c r="D1125" s="186"/>
      <c r="E1125" s="186"/>
      <c r="F1125" s="186"/>
      <c r="G1125" s="186"/>
      <c r="H1125" s="186"/>
      <c r="I1125" s="186"/>
      <c r="J1125" s="186"/>
      <c r="K1125" s="186"/>
      <c r="L1125" s="370"/>
      <c r="M1125" s="370"/>
      <c r="N1125" s="370"/>
      <c r="O1125" s="370"/>
      <c r="P1125" s="370"/>
      <c r="Q1125" s="186"/>
      <c r="R1125" s="186"/>
      <c r="S1125" s="186"/>
      <c r="T1125" s="186"/>
      <c r="U1125" s="186"/>
      <c r="V1125" s="186"/>
      <c r="W1125" s="186"/>
      <c r="X1125" s="186"/>
      <c r="Y1125" s="186"/>
      <c r="Z1125" s="305"/>
      <c r="AA1125" s="60"/>
      <c r="AB1125" s="60"/>
      <c r="AC1125" s="60"/>
      <c r="AD1125" s="60"/>
      <c r="AE1125" s="60"/>
      <c r="AF1125" s="60"/>
      <c r="AG1125" s="60"/>
      <c r="AH1125" s="60"/>
      <c r="AI1125" s="60"/>
      <c r="AJ1125" s="60"/>
    </row>
    <row r="1126" spans="2:36" s="59" customFormat="1">
      <c r="B1126" s="203"/>
      <c r="C1126" s="186"/>
      <c r="D1126" s="186"/>
      <c r="E1126" s="186"/>
      <c r="F1126" s="186"/>
      <c r="G1126" s="186"/>
      <c r="H1126" s="186"/>
      <c r="I1126" s="186"/>
      <c r="J1126" s="186"/>
      <c r="K1126" s="186"/>
      <c r="L1126" s="370"/>
      <c r="M1126" s="370"/>
      <c r="N1126" s="370"/>
      <c r="O1126" s="370"/>
      <c r="P1126" s="370"/>
      <c r="Q1126" s="186"/>
      <c r="R1126" s="186"/>
      <c r="S1126" s="186"/>
      <c r="T1126" s="186"/>
      <c r="U1126" s="186"/>
      <c r="V1126" s="186"/>
      <c r="W1126" s="186"/>
      <c r="X1126" s="186"/>
      <c r="Y1126" s="186"/>
      <c r="Z1126" s="305"/>
      <c r="AA1126" s="60"/>
      <c r="AB1126" s="60"/>
      <c r="AC1126" s="60"/>
      <c r="AD1126" s="60"/>
      <c r="AE1126" s="60"/>
      <c r="AF1126" s="60"/>
      <c r="AG1126" s="60"/>
      <c r="AH1126" s="60"/>
      <c r="AI1126" s="60"/>
      <c r="AJ1126" s="60"/>
    </row>
    <row r="1127" spans="2:36" s="59" customFormat="1">
      <c r="B1127" s="203"/>
      <c r="C1127" s="186"/>
      <c r="D1127" s="186"/>
      <c r="E1127" s="186"/>
      <c r="F1127" s="186"/>
      <c r="G1127" s="186"/>
      <c r="H1127" s="186"/>
      <c r="I1127" s="186"/>
      <c r="J1127" s="186"/>
      <c r="K1127" s="186"/>
      <c r="L1127" s="370"/>
      <c r="M1127" s="370"/>
      <c r="N1127" s="370"/>
      <c r="O1127" s="370"/>
      <c r="P1127" s="370"/>
      <c r="Q1127" s="186"/>
      <c r="R1127" s="186"/>
      <c r="S1127" s="186"/>
      <c r="T1127" s="186"/>
      <c r="U1127" s="186"/>
      <c r="V1127" s="186"/>
      <c r="W1127" s="186"/>
      <c r="X1127" s="186"/>
      <c r="Y1127" s="186"/>
      <c r="Z1127" s="305"/>
      <c r="AA1127" s="60"/>
      <c r="AB1127" s="60"/>
      <c r="AC1127" s="60"/>
      <c r="AD1127" s="60"/>
      <c r="AE1127" s="60"/>
      <c r="AF1127" s="60"/>
      <c r="AG1127" s="60"/>
      <c r="AH1127" s="60"/>
      <c r="AI1127" s="60"/>
      <c r="AJ1127" s="60"/>
    </row>
    <row r="1128" spans="2:36" s="59" customFormat="1">
      <c r="B1128" s="203"/>
      <c r="C1128" s="186"/>
      <c r="D1128" s="186"/>
      <c r="E1128" s="186"/>
      <c r="F1128" s="186"/>
      <c r="G1128" s="186"/>
      <c r="H1128" s="186"/>
      <c r="I1128" s="186"/>
      <c r="J1128" s="186"/>
      <c r="K1128" s="186"/>
      <c r="L1128" s="370"/>
      <c r="M1128" s="370"/>
      <c r="N1128" s="370"/>
      <c r="O1128" s="370"/>
      <c r="P1128" s="370"/>
      <c r="Q1128" s="186"/>
      <c r="R1128" s="186"/>
      <c r="S1128" s="186"/>
      <c r="T1128" s="186"/>
      <c r="U1128" s="186"/>
      <c r="V1128" s="186"/>
      <c r="W1128" s="186"/>
      <c r="X1128" s="186"/>
      <c r="Y1128" s="186"/>
      <c r="Z1128" s="305"/>
      <c r="AA1128" s="60"/>
      <c r="AB1128" s="60"/>
      <c r="AC1128" s="60"/>
      <c r="AD1128" s="60"/>
      <c r="AE1128" s="60"/>
      <c r="AF1128" s="60"/>
      <c r="AG1128" s="60"/>
      <c r="AH1128" s="60"/>
      <c r="AI1128" s="60"/>
      <c r="AJ1128" s="60"/>
    </row>
    <row r="1129" spans="2:36" s="59" customFormat="1">
      <c r="B1129" s="203"/>
      <c r="C1129" s="186"/>
      <c r="D1129" s="186"/>
      <c r="E1129" s="186"/>
      <c r="F1129" s="186"/>
      <c r="G1129" s="186"/>
      <c r="H1129" s="186"/>
      <c r="I1129" s="186"/>
      <c r="J1129" s="186"/>
      <c r="K1129" s="186"/>
      <c r="L1129" s="370"/>
      <c r="M1129" s="370"/>
      <c r="N1129" s="370"/>
      <c r="O1129" s="370"/>
      <c r="P1129" s="370"/>
      <c r="Q1129" s="186"/>
      <c r="R1129" s="186"/>
      <c r="S1129" s="186"/>
      <c r="T1129" s="186"/>
      <c r="U1129" s="186"/>
      <c r="V1129" s="186"/>
      <c r="W1129" s="186"/>
      <c r="X1129" s="186"/>
      <c r="Y1129" s="186"/>
      <c r="Z1129" s="305"/>
      <c r="AA1129" s="60"/>
      <c r="AB1129" s="60"/>
      <c r="AC1129" s="60"/>
      <c r="AD1129" s="60"/>
      <c r="AE1129" s="60"/>
      <c r="AF1129" s="60"/>
      <c r="AG1129" s="60"/>
      <c r="AH1129" s="60"/>
      <c r="AI1129" s="60"/>
      <c r="AJ1129" s="60"/>
    </row>
    <row r="1130" spans="2:36" s="59" customFormat="1">
      <c r="B1130" s="203"/>
      <c r="C1130" s="186"/>
      <c r="D1130" s="186"/>
      <c r="E1130" s="186"/>
      <c r="F1130" s="186"/>
      <c r="G1130" s="186"/>
      <c r="H1130" s="186"/>
      <c r="I1130" s="186"/>
      <c r="J1130" s="186"/>
      <c r="K1130" s="186"/>
      <c r="L1130" s="370"/>
      <c r="M1130" s="370"/>
      <c r="N1130" s="370"/>
      <c r="O1130" s="370"/>
      <c r="P1130" s="370"/>
      <c r="Q1130" s="186"/>
      <c r="R1130" s="186"/>
      <c r="S1130" s="186"/>
      <c r="T1130" s="186"/>
      <c r="U1130" s="186"/>
      <c r="V1130" s="186"/>
      <c r="W1130" s="186"/>
      <c r="X1130" s="186"/>
      <c r="Y1130" s="186"/>
      <c r="Z1130" s="305"/>
      <c r="AA1130" s="60"/>
      <c r="AB1130" s="60"/>
      <c r="AC1130" s="60"/>
      <c r="AD1130" s="60"/>
      <c r="AE1130" s="60"/>
      <c r="AF1130" s="60"/>
      <c r="AG1130" s="60"/>
      <c r="AH1130" s="60"/>
      <c r="AI1130" s="60"/>
      <c r="AJ1130" s="60"/>
    </row>
    <row r="1131" spans="2:36" s="59" customFormat="1">
      <c r="B1131" s="203"/>
      <c r="C1131" s="186"/>
      <c r="D1131" s="186"/>
      <c r="E1131" s="186"/>
      <c r="F1131" s="186"/>
      <c r="G1131" s="186"/>
      <c r="H1131" s="186"/>
      <c r="I1131" s="186"/>
      <c r="J1131" s="186"/>
      <c r="K1131" s="186"/>
      <c r="L1131" s="370"/>
      <c r="M1131" s="370"/>
      <c r="N1131" s="370"/>
      <c r="O1131" s="370"/>
      <c r="P1131" s="370"/>
      <c r="Q1131" s="186"/>
      <c r="R1131" s="186"/>
      <c r="S1131" s="186"/>
      <c r="T1131" s="186"/>
      <c r="U1131" s="186"/>
      <c r="V1131" s="186"/>
      <c r="W1131" s="186"/>
      <c r="X1131" s="186"/>
      <c r="Y1131" s="186"/>
      <c r="Z1131" s="305"/>
      <c r="AA1131" s="60"/>
      <c r="AB1131" s="60"/>
      <c r="AC1131" s="60"/>
      <c r="AD1131" s="60"/>
      <c r="AE1131" s="60"/>
      <c r="AF1131" s="60"/>
      <c r="AG1131" s="60"/>
      <c r="AH1131" s="60"/>
      <c r="AI1131" s="60"/>
      <c r="AJ1131" s="60"/>
    </row>
    <row r="1132" spans="2:36" s="59" customFormat="1">
      <c r="B1132" s="203"/>
      <c r="C1132" s="186"/>
      <c r="D1132" s="186"/>
      <c r="E1132" s="186"/>
      <c r="F1132" s="186"/>
      <c r="G1132" s="186"/>
      <c r="H1132" s="186"/>
      <c r="I1132" s="186"/>
      <c r="J1132" s="186"/>
      <c r="K1132" s="186"/>
      <c r="L1132" s="370"/>
      <c r="M1132" s="370"/>
      <c r="N1132" s="370"/>
      <c r="O1132" s="370"/>
      <c r="P1132" s="370"/>
      <c r="Q1132" s="186"/>
      <c r="R1132" s="186"/>
      <c r="S1132" s="186"/>
      <c r="T1132" s="186"/>
      <c r="U1132" s="186"/>
      <c r="V1132" s="186"/>
      <c r="W1132" s="186"/>
      <c r="X1132" s="186"/>
      <c r="Y1132" s="186"/>
      <c r="Z1132" s="305"/>
      <c r="AA1132" s="60"/>
      <c r="AB1132" s="60"/>
      <c r="AC1132" s="60"/>
      <c r="AD1132" s="60"/>
      <c r="AE1132" s="60"/>
      <c r="AF1132" s="60"/>
      <c r="AG1132" s="60"/>
      <c r="AH1132" s="60"/>
      <c r="AI1132" s="60"/>
      <c r="AJ1132" s="60"/>
    </row>
    <row r="1133" spans="2:36" s="59" customFormat="1">
      <c r="B1133" s="203"/>
      <c r="C1133" s="186"/>
      <c r="D1133" s="186"/>
      <c r="E1133" s="186"/>
      <c r="F1133" s="186"/>
      <c r="G1133" s="186"/>
      <c r="H1133" s="186"/>
      <c r="I1133" s="186"/>
      <c r="J1133" s="186"/>
      <c r="K1133" s="186"/>
      <c r="L1133" s="370"/>
      <c r="M1133" s="370"/>
      <c r="N1133" s="370"/>
      <c r="O1133" s="370"/>
      <c r="P1133" s="370"/>
      <c r="Q1133" s="186"/>
      <c r="R1133" s="186"/>
      <c r="S1133" s="186"/>
      <c r="T1133" s="186"/>
      <c r="U1133" s="186"/>
      <c r="V1133" s="186"/>
      <c r="W1133" s="186"/>
      <c r="X1133" s="186"/>
      <c r="Y1133" s="186"/>
      <c r="Z1133" s="305"/>
      <c r="AA1133" s="60"/>
      <c r="AB1133" s="60"/>
      <c r="AC1133" s="60"/>
      <c r="AD1133" s="60"/>
      <c r="AE1133" s="60"/>
      <c r="AF1133" s="60"/>
      <c r="AG1133" s="60"/>
      <c r="AH1133" s="60"/>
      <c r="AI1133" s="60"/>
      <c r="AJ1133" s="60"/>
    </row>
    <row r="1134" spans="2:36" s="59" customFormat="1">
      <c r="B1134" s="203"/>
      <c r="C1134" s="186"/>
      <c r="D1134" s="186"/>
      <c r="E1134" s="186"/>
      <c r="F1134" s="186"/>
      <c r="G1134" s="186"/>
      <c r="H1134" s="186"/>
      <c r="I1134" s="186"/>
      <c r="J1134" s="186"/>
      <c r="K1134" s="186"/>
      <c r="L1134" s="370"/>
      <c r="M1134" s="370"/>
      <c r="N1134" s="370"/>
      <c r="O1134" s="370"/>
      <c r="P1134" s="370"/>
      <c r="Q1134" s="186"/>
      <c r="R1134" s="186"/>
      <c r="S1134" s="186"/>
      <c r="T1134" s="186"/>
      <c r="U1134" s="186"/>
      <c r="V1134" s="186"/>
      <c r="W1134" s="186"/>
      <c r="X1134" s="186"/>
      <c r="Y1134" s="186"/>
      <c r="Z1134" s="305"/>
      <c r="AA1134" s="60"/>
      <c r="AB1134" s="60"/>
      <c r="AC1134" s="60"/>
      <c r="AD1134" s="60"/>
      <c r="AE1134" s="60"/>
      <c r="AF1134" s="60"/>
      <c r="AG1134" s="60"/>
      <c r="AH1134" s="60"/>
      <c r="AI1134" s="60"/>
      <c r="AJ1134" s="60"/>
    </row>
    <row r="1135" spans="2:36" s="59" customFormat="1">
      <c r="B1135" s="203"/>
      <c r="C1135" s="186"/>
      <c r="D1135" s="186"/>
      <c r="E1135" s="186"/>
      <c r="F1135" s="186"/>
      <c r="G1135" s="186"/>
      <c r="H1135" s="186"/>
      <c r="I1135" s="186"/>
      <c r="J1135" s="186"/>
      <c r="K1135" s="186"/>
      <c r="L1135" s="370"/>
      <c r="M1135" s="370"/>
      <c r="N1135" s="370"/>
      <c r="O1135" s="370"/>
      <c r="P1135" s="370"/>
      <c r="Q1135" s="186"/>
      <c r="R1135" s="186"/>
      <c r="S1135" s="186"/>
      <c r="T1135" s="186"/>
      <c r="U1135" s="186"/>
      <c r="V1135" s="186"/>
      <c r="W1135" s="186"/>
      <c r="X1135" s="186"/>
      <c r="Y1135" s="186"/>
      <c r="Z1135" s="305"/>
      <c r="AA1135" s="60"/>
      <c r="AB1135" s="60"/>
      <c r="AC1135" s="60"/>
      <c r="AD1135" s="60"/>
      <c r="AE1135" s="60"/>
      <c r="AF1135" s="60"/>
      <c r="AG1135" s="60"/>
      <c r="AH1135" s="60"/>
      <c r="AI1135" s="60"/>
      <c r="AJ1135" s="60"/>
    </row>
    <row r="1136" spans="2:36" s="59" customFormat="1">
      <c r="B1136" s="203"/>
      <c r="C1136" s="186"/>
      <c r="D1136" s="186"/>
      <c r="E1136" s="186"/>
      <c r="F1136" s="186"/>
      <c r="G1136" s="186"/>
      <c r="H1136" s="186"/>
      <c r="I1136" s="186"/>
      <c r="J1136" s="186"/>
      <c r="K1136" s="186"/>
      <c r="L1136" s="370"/>
      <c r="M1136" s="370"/>
      <c r="N1136" s="370"/>
      <c r="O1136" s="370"/>
      <c r="P1136" s="370"/>
      <c r="Q1136" s="186"/>
      <c r="R1136" s="186"/>
      <c r="S1136" s="186"/>
      <c r="T1136" s="186"/>
      <c r="U1136" s="186"/>
      <c r="V1136" s="186"/>
      <c r="W1136" s="186"/>
      <c r="X1136" s="186"/>
      <c r="Y1136" s="186"/>
      <c r="Z1136" s="305"/>
      <c r="AA1136" s="60"/>
      <c r="AB1136" s="60"/>
      <c r="AC1136" s="60"/>
      <c r="AD1136" s="60"/>
      <c r="AE1136" s="60"/>
      <c r="AF1136" s="60"/>
      <c r="AG1136" s="60"/>
      <c r="AH1136" s="60"/>
      <c r="AI1136" s="60"/>
      <c r="AJ1136" s="60"/>
    </row>
    <row r="1137" spans="2:36" s="59" customFormat="1">
      <c r="B1137" s="203"/>
      <c r="C1137" s="186"/>
      <c r="D1137" s="186"/>
      <c r="E1137" s="186"/>
      <c r="F1137" s="186"/>
      <c r="G1137" s="186"/>
      <c r="H1137" s="186"/>
      <c r="I1137" s="186"/>
      <c r="J1137" s="186"/>
      <c r="K1137" s="186"/>
      <c r="L1137" s="370"/>
      <c r="M1137" s="370"/>
      <c r="N1137" s="370"/>
      <c r="O1137" s="370"/>
      <c r="P1137" s="370"/>
      <c r="Q1137" s="186"/>
      <c r="R1137" s="186"/>
      <c r="S1137" s="186"/>
      <c r="T1137" s="186"/>
      <c r="U1137" s="186"/>
      <c r="V1137" s="186"/>
      <c r="W1137" s="186"/>
      <c r="X1137" s="186"/>
      <c r="Y1137" s="186"/>
      <c r="Z1137" s="305"/>
      <c r="AA1137" s="60"/>
      <c r="AB1137" s="60"/>
      <c r="AC1137" s="60"/>
      <c r="AD1137" s="60"/>
      <c r="AE1137" s="60"/>
      <c r="AF1137" s="60"/>
      <c r="AG1137" s="60"/>
      <c r="AH1137" s="60"/>
      <c r="AI1137" s="60"/>
      <c r="AJ1137" s="60"/>
    </row>
    <row r="1138" spans="2:36" s="59" customFormat="1">
      <c r="B1138" s="203"/>
      <c r="C1138" s="186"/>
      <c r="D1138" s="186"/>
      <c r="E1138" s="186"/>
      <c r="F1138" s="186"/>
      <c r="G1138" s="186"/>
      <c r="H1138" s="186"/>
      <c r="I1138" s="186"/>
      <c r="J1138" s="186"/>
      <c r="K1138" s="186"/>
      <c r="L1138" s="370"/>
      <c r="M1138" s="370"/>
      <c r="N1138" s="370"/>
      <c r="O1138" s="370"/>
      <c r="P1138" s="370"/>
      <c r="Q1138" s="186"/>
      <c r="R1138" s="186"/>
      <c r="S1138" s="186"/>
      <c r="T1138" s="186"/>
      <c r="U1138" s="186"/>
      <c r="V1138" s="186"/>
      <c r="W1138" s="186"/>
      <c r="X1138" s="186"/>
      <c r="Y1138" s="186"/>
      <c r="Z1138" s="305"/>
      <c r="AA1138" s="60"/>
      <c r="AB1138" s="60"/>
      <c r="AC1138" s="60"/>
      <c r="AD1138" s="60"/>
      <c r="AE1138" s="60"/>
      <c r="AF1138" s="60"/>
      <c r="AG1138" s="60"/>
      <c r="AH1138" s="60"/>
      <c r="AI1138" s="60"/>
      <c r="AJ1138" s="60"/>
    </row>
    <row r="1139" spans="2:36" s="59" customFormat="1">
      <c r="B1139" s="203"/>
      <c r="C1139" s="186"/>
      <c r="D1139" s="186"/>
      <c r="E1139" s="186"/>
      <c r="F1139" s="186"/>
      <c r="G1139" s="186"/>
      <c r="H1139" s="186"/>
      <c r="I1139" s="186"/>
      <c r="J1139" s="186"/>
      <c r="K1139" s="186"/>
      <c r="L1139" s="370"/>
      <c r="M1139" s="370"/>
      <c r="N1139" s="370"/>
      <c r="O1139" s="370"/>
      <c r="P1139" s="370"/>
      <c r="Q1139" s="186"/>
      <c r="R1139" s="186"/>
      <c r="S1139" s="186"/>
      <c r="T1139" s="186"/>
      <c r="U1139" s="186"/>
      <c r="V1139" s="186"/>
      <c r="W1139" s="186"/>
      <c r="X1139" s="186"/>
      <c r="Y1139" s="186"/>
      <c r="Z1139" s="305"/>
      <c r="AA1139" s="60"/>
      <c r="AB1139" s="60"/>
      <c r="AC1139" s="60"/>
      <c r="AD1139" s="60"/>
      <c r="AE1139" s="60"/>
      <c r="AF1139" s="60"/>
      <c r="AG1139" s="60"/>
      <c r="AH1139" s="60"/>
      <c r="AI1139" s="60"/>
      <c r="AJ1139" s="60"/>
    </row>
    <row r="1140" spans="2:36" s="59" customFormat="1">
      <c r="B1140" s="203"/>
      <c r="C1140" s="186"/>
      <c r="D1140" s="186"/>
      <c r="E1140" s="186"/>
      <c r="F1140" s="186"/>
      <c r="G1140" s="186"/>
      <c r="H1140" s="186"/>
      <c r="I1140" s="186"/>
      <c r="J1140" s="186"/>
      <c r="K1140" s="186"/>
      <c r="L1140" s="370"/>
      <c r="M1140" s="370"/>
      <c r="N1140" s="370"/>
      <c r="O1140" s="370"/>
      <c r="P1140" s="370"/>
      <c r="Q1140" s="186"/>
      <c r="R1140" s="186"/>
      <c r="S1140" s="186"/>
      <c r="T1140" s="186"/>
      <c r="U1140" s="186"/>
      <c r="V1140" s="186"/>
      <c r="W1140" s="186"/>
      <c r="X1140" s="186"/>
      <c r="Y1140" s="186"/>
      <c r="Z1140" s="305"/>
      <c r="AA1140" s="60"/>
      <c r="AB1140" s="60"/>
      <c r="AC1140" s="60"/>
      <c r="AD1140" s="60"/>
      <c r="AE1140" s="60"/>
      <c r="AF1140" s="60"/>
      <c r="AG1140" s="60"/>
      <c r="AH1140" s="60"/>
      <c r="AI1140" s="60"/>
      <c r="AJ1140" s="60"/>
    </row>
    <row r="1141" spans="2:36" s="59" customFormat="1">
      <c r="B1141" s="203"/>
      <c r="C1141" s="186"/>
      <c r="D1141" s="186"/>
      <c r="E1141" s="186"/>
      <c r="F1141" s="186"/>
      <c r="G1141" s="186"/>
      <c r="H1141" s="186"/>
      <c r="I1141" s="186"/>
      <c r="J1141" s="186"/>
      <c r="K1141" s="186"/>
      <c r="L1141" s="370"/>
      <c r="M1141" s="370"/>
      <c r="N1141" s="370"/>
      <c r="O1141" s="370"/>
      <c r="P1141" s="370"/>
      <c r="Q1141" s="186"/>
      <c r="R1141" s="186"/>
      <c r="S1141" s="186"/>
      <c r="T1141" s="186"/>
      <c r="U1141" s="186"/>
      <c r="V1141" s="186"/>
      <c r="W1141" s="186"/>
      <c r="X1141" s="186"/>
      <c r="Y1141" s="186"/>
      <c r="Z1141" s="305"/>
      <c r="AA1141" s="60"/>
      <c r="AB1141" s="60"/>
      <c r="AC1141" s="60"/>
      <c r="AD1141" s="60"/>
      <c r="AE1141" s="60"/>
      <c r="AF1141" s="60"/>
      <c r="AG1141" s="60"/>
      <c r="AH1141" s="60"/>
      <c r="AI1141" s="60"/>
      <c r="AJ1141" s="60"/>
    </row>
    <row r="1142" spans="2:36" s="59" customFormat="1">
      <c r="B1142" s="203"/>
      <c r="C1142" s="186"/>
      <c r="D1142" s="186"/>
      <c r="E1142" s="186"/>
      <c r="F1142" s="186"/>
      <c r="G1142" s="186"/>
      <c r="H1142" s="186"/>
      <c r="I1142" s="186"/>
      <c r="J1142" s="186"/>
      <c r="K1142" s="186"/>
      <c r="L1142" s="370"/>
      <c r="M1142" s="370"/>
      <c r="N1142" s="370"/>
      <c r="O1142" s="370"/>
      <c r="P1142" s="370"/>
      <c r="Q1142" s="186"/>
      <c r="R1142" s="186"/>
      <c r="S1142" s="186"/>
      <c r="T1142" s="186"/>
      <c r="U1142" s="186"/>
      <c r="V1142" s="186"/>
      <c r="W1142" s="186"/>
      <c r="X1142" s="186"/>
      <c r="Y1142" s="186"/>
      <c r="Z1142" s="305"/>
      <c r="AA1142" s="60"/>
      <c r="AB1142" s="60"/>
      <c r="AC1142" s="60"/>
      <c r="AD1142" s="60"/>
      <c r="AE1142" s="60"/>
      <c r="AF1142" s="60"/>
      <c r="AG1142" s="60"/>
      <c r="AH1142" s="60"/>
      <c r="AI1142" s="60"/>
      <c r="AJ1142" s="60"/>
    </row>
    <row r="1143" spans="2:36" s="59" customFormat="1">
      <c r="B1143" s="203"/>
      <c r="C1143" s="186"/>
      <c r="D1143" s="186"/>
      <c r="E1143" s="186"/>
      <c r="F1143" s="186"/>
      <c r="G1143" s="186"/>
      <c r="H1143" s="186"/>
      <c r="I1143" s="186"/>
      <c r="J1143" s="186"/>
      <c r="K1143" s="186"/>
      <c r="L1143" s="370"/>
      <c r="M1143" s="370"/>
      <c r="N1143" s="370"/>
      <c r="O1143" s="370"/>
      <c r="P1143" s="370"/>
      <c r="Q1143" s="186"/>
      <c r="R1143" s="186"/>
      <c r="S1143" s="186"/>
      <c r="T1143" s="186"/>
      <c r="U1143" s="186"/>
      <c r="V1143" s="186"/>
      <c r="W1143" s="186"/>
      <c r="X1143" s="186"/>
      <c r="Y1143" s="186"/>
      <c r="Z1143" s="305"/>
      <c r="AA1143" s="60"/>
      <c r="AB1143" s="60"/>
      <c r="AC1143" s="60"/>
      <c r="AD1143" s="60"/>
      <c r="AE1143" s="60"/>
      <c r="AF1143" s="60"/>
      <c r="AG1143" s="60"/>
      <c r="AH1143" s="60"/>
      <c r="AI1143" s="60"/>
      <c r="AJ1143" s="60"/>
    </row>
    <row r="1144" spans="2:36" s="59" customFormat="1">
      <c r="B1144" s="203"/>
      <c r="C1144" s="186"/>
      <c r="D1144" s="186"/>
      <c r="E1144" s="186"/>
      <c r="F1144" s="186"/>
      <c r="G1144" s="186"/>
      <c r="H1144" s="186"/>
      <c r="I1144" s="186"/>
      <c r="J1144" s="186"/>
      <c r="K1144" s="186"/>
      <c r="L1144" s="370"/>
      <c r="M1144" s="370"/>
      <c r="N1144" s="370"/>
      <c r="O1144" s="370"/>
      <c r="P1144" s="370"/>
      <c r="Q1144" s="186"/>
      <c r="R1144" s="186"/>
      <c r="S1144" s="186"/>
      <c r="T1144" s="186"/>
      <c r="U1144" s="186"/>
      <c r="V1144" s="186"/>
      <c r="W1144" s="186"/>
      <c r="X1144" s="186"/>
      <c r="Y1144" s="186"/>
      <c r="Z1144" s="305"/>
      <c r="AA1144" s="60"/>
      <c r="AB1144" s="60"/>
      <c r="AC1144" s="60"/>
      <c r="AD1144" s="60"/>
      <c r="AE1144" s="60"/>
      <c r="AF1144" s="60"/>
      <c r="AG1144" s="60"/>
      <c r="AH1144" s="60"/>
      <c r="AI1144" s="60"/>
      <c r="AJ1144" s="60"/>
    </row>
    <row r="1145" spans="2:36" s="59" customFormat="1">
      <c r="B1145" s="203"/>
      <c r="C1145" s="186"/>
      <c r="D1145" s="186"/>
      <c r="E1145" s="186"/>
      <c r="F1145" s="186"/>
      <c r="G1145" s="186"/>
      <c r="H1145" s="186"/>
      <c r="I1145" s="186"/>
      <c r="J1145" s="186"/>
      <c r="K1145" s="186"/>
      <c r="L1145" s="370"/>
      <c r="M1145" s="370"/>
      <c r="N1145" s="370"/>
      <c r="O1145" s="370"/>
      <c r="P1145" s="370"/>
      <c r="Q1145" s="186"/>
      <c r="R1145" s="186"/>
      <c r="S1145" s="186"/>
      <c r="T1145" s="186"/>
      <c r="U1145" s="186"/>
      <c r="V1145" s="186"/>
      <c r="W1145" s="186"/>
      <c r="X1145" s="186"/>
      <c r="Y1145" s="186"/>
      <c r="Z1145" s="305"/>
      <c r="AA1145" s="60"/>
      <c r="AB1145" s="60"/>
      <c r="AC1145" s="60"/>
      <c r="AD1145" s="60"/>
      <c r="AE1145" s="60"/>
      <c r="AF1145" s="60"/>
      <c r="AG1145" s="60"/>
      <c r="AH1145" s="60"/>
      <c r="AI1145" s="60"/>
      <c r="AJ1145" s="60"/>
    </row>
    <row r="1146" spans="2:36" s="59" customFormat="1">
      <c r="B1146" s="203"/>
      <c r="C1146" s="186"/>
      <c r="D1146" s="186"/>
      <c r="E1146" s="186"/>
      <c r="F1146" s="186"/>
      <c r="G1146" s="186"/>
      <c r="H1146" s="186"/>
      <c r="I1146" s="186"/>
      <c r="J1146" s="186"/>
      <c r="K1146" s="186"/>
      <c r="L1146" s="370"/>
      <c r="M1146" s="370"/>
      <c r="N1146" s="370"/>
      <c r="O1146" s="370"/>
      <c r="P1146" s="370"/>
      <c r="Q1146" s="186"/>
      <c r="R1146" s="186"/>
      <c r="S1146" s="186"/>
      <c r="T1146" s="186"/>
      <c r="U1146" s="186"/>
      <c r="V1146" s="186"/>
      <c r="W1146" s="186"/>
      <c r="X1146" s="186"/>
      <c r="Y1146" s="186"/>
      <c r="Z1146" s="305"/>
      <c r="AA1146" s="60"/>
      <c r="AB1146" s="60"/>
      <c r="AC1146" s="60"/>
      <c r="AD1146" s="60"/>
      <c r="AE1146" s="60"/>
      <c r="AF1146" s="60"/>
      <c r="AG1146" s="60"/>
      <c r="AH1146" s="60"/>
      <c r="AI1146" s="60"/>
      <c r="AJ1146" s="60"/>
    </row>
    <row r="1147" spans="2:36" s="59" customFormat="1">
      <c r="B1147" s="203"/>
      <c r="C1147" s="186"/>
      <c r="D1147" s="186"/>
      <c r="E1147" s="186"/>
      <c r="F1147" s="186"/>
      <c r="G1147" s="186"/>
      <c r="H1147" s="186"/>
      <c r="I1147" s="186"/>
      <c r="J1147" s="186"/>
      <c r="K1147" s="186"/>
      <c r="L1147" s="370"/>
      <c r="M1147" s="370"/>
      <c r="N1147" s="370"/>
      <c r="O1147" s="370"/>
      <c r="P1147" s="370"/>
      <c r="Q1147" s="186"/>
      <c r="R1147" s="186"/>
      <c r="S1147" s="186"/>
      <c r="T1147" s="186"/>
      <c r="U1147" s="186"/>
      <c r="V1147" s="186"/>
      <c r="W1147" s="186"/>
      <c r="X1147" s="186"/>
      <c r="Y1147" s="186"/>
      <c r="Z1147" s="305"/>
      <c r="AA1147" s="60"/>
      <c r="AB1147" s="60"/>
      <c r="AC1147" s="60"/>
      <c r="AD1147" s="60"/>
      <c r="AE1147" s="60"/>
      <c r="AF1147" s="60"/>
      <c r="AG1147" s="60"/>
      <c r="AH1147" s="60"/>
      <c r="AI1147" s="60"/>
      <c r="AJ1147" s="60"/>
    </row>
    <row r="1148" spans="2:36" s="59" customFormat="1">
      <c r="B1148" s="203"/>
      <c r="C1148" s="186"/>
      <c r="D1148" s="186"/>
      <c r="E1148" s="186"/>
      <c r="F1148" s="186"/>
      <c r="G1148" s="186"/>
      <c r="H1148" s="186"/>
      <c r="I1148" s="186"/>
      <c r="J1148" s="186"/>
      <c r="K1148" s="186"/>
      <c r="L1148" s="370"/>
      <c r="M1148" s="370"/>
      <c r="N1148" s="370"/>
      <c r="O1148" s="370"/>
      <c r="P1148" s="370"/>
      <c r="Q1148" s="186"/>
      <c r="R1148" s="186"/>
      <c r="S1148" s="186"/>
      <c r="T1148" s="186"/>
      <c r="U1148" s="186"/>
      <c r="V1148" s="186"/>
      <c r="W1148" s="186"/>
      <c r="X1148" s="186"/>
      <c r="Y1148" s="186"/>
      <c r="Z1148" s="305"/>
      <c r="AA1148" s="60"/>
      <c r="AB1148" s="60"/>
      <c r="AC1148" s="60"/>
      <c r="AD1148" s="60"/>
      <c r="AE1148" s="60"/>
      <c r="AF1148" s="60"/>
      <c r="AG1148" s="60"/>
      <c r="AH1148" s="60"/>
      <c r="AI1148" s="60"/>
      <c r="AJ1148" s="60"/>
    </row>
    <row r="1149" spans="2:36" s="59" customFormat="1">
      <c r="B1149" s="203"/>
      <c r="C1149" s="186"/>
      <c r="D1149" s="186"/>
      <c r="E1149" s="186"/>
      <c r="F1149" s="186"/>
      <c r="G1149" s="186"/>
      <c r="H1149" s="186"/>
      <c r="I1149" s="186"/>
      <c r="J1149" s="186"/>
      <c r="K1149" s="186"/>
      <c r="L1149" s="370"/>
      <c r="M1149" s="370"/>
      <c r="N1149" s="370"/>
      <c r="O1149" s="370"/>
      <c r="P1149" s="370"/>
      <c r="Q1149" s="186"/>
      <c r="R1149" s="186"/>
      <c r="S1149" s="186"/>
      <c r="T1149" s="186"/>
      <c r="U1149" s="186"/>
      <c r="V1149" s="186"/>
      <c r="W1149" s="186"/>
      <c r="X1149" s="186"/>
      <c r="Y1149" s="186"/>
      <c r="Z1149" s="305"/>
      <c r="AA1149" s="60"/>
      <c r="AB1149" s="60"/>
      <c r="AC1149" s="60"/>
      <c r="AD1149" s="60"/>
      <c r="AE1149" s="60"/>
      <c r="AF1149" s="60"/>
      <c r="AG1149" s="60"/>
      <c r="AH1149" s="60"/>
      <c r="AI1149" s="60"/>
      <c r="AJ1149" s="60"/>
    </row>
    <row r="1150" spans="2:36" s="59" customFormat="1">
      <c r="B1150" s="203"/>
      <c r="C1150" s="186"/>
      <c r="D1150" s="186"/>
      <c r="E1150" s="186"/>
      <c r="F1150" s="186"/>
      <c r="G1150" s="186"/>
      <c r="H1150" s="186"/>
      <c r="I1150" s="186"/>
      <c r="J1150" s="186"/>
      <c r="K1150" s="186"/>
      <c r="L1150" s="370"/>
      <c r="M1150" s="370"/>
      <c r="N1150" s="370"/>
      <c r="O1150" s="370"/>
      <c r="P1150" s="370"/>
      <c r="Q1150" s="186"/>
      <c r="R1150" s="186"/>
      <c r="S1150" s="186"/>
      <c r="T1150" s="186"/>
      <c r="U1150" s="186"/>
      <c r="V1150" s="186"/>
      <c r="W1150" s="186"/>
      <c r="X1150" s="186"/>
      <c r="Y1150" s="186"/>
      <c r="Z1150" s="305"/>
      <c r="AA1150" s="60"/>
      <c r="AB1150" s="60"/>
      <c r="AC1150" s="60"/>
      <c r="AD1150" s="60"/>
      <c r="AE1150" s="60"/>
      <c r="AF1150" s="60"/>
      <c r="AG1150" s="60"/>
      <c r="AH1150" s="60"/>
      <c r="AI1150" s="60"/>
      <c r="AJ1150" s="60"/>
    </row>
    <row r="1151" spans="2:36" s="59" customFormat="1">
      <c r="B1151" s="203"/>
      <c r="C1151" s="186"/>
      <c r="D1151" s="186"/>
      <c r="E1151" s="186"/>
      <c r="F1151" s="186"/>
      <c r="G1151" s="186"/>
      <c r="H1151" s="186"/>
      <c r="I1151" s="186"/>
      <c r="J1151" s="186"/>
      <c r="K1151" s="186"/>
      <c r="L1151" s="370"/>
      <c r="M1151" s="370"/>
      <c r="N1151" s="370"/>
      <c r="O1151" s="370"/>
      <c r="P1151" s="370"/>
      <c r="Q1151" s="186"/>
      <c r="R1151" s="186"/>
      <c r="S1151" s="186"/>
      <c r="T1151" s="186"/>
      <c r="U1151" s="186"/>
      <c r="V1151" s="186"/>
      <c r="W1151" s="186"/>
      <c r="X1151" s="186"/>
      <c r="Y1151" s="186"/>
      <c r="Z1151" s="305"/>
      <c r="AA1151" s="60"/>
      <c r="AB1151" s="60"/>
      <c r="AC1151" s="60"/>
      <c r="AD1151" s="60"/>
      <c r="AE1151" s="60"/>
      <c r="AF1151" s="60"/>
      <c r="AG1151" s="60"/>
      <c r="AH1151" s="60"/>
      <c r="AI1151" s="60"/>
      <c r="AJ1151" s="60"/>
    </row>
    <row r="1152" spans="2:36" s="59" customFormat="1">
      <c r="B1152" s="203"/>
      <c r="C1152" s="186"/>
      <c r="D1152" s="186"/>
      <c r="E1152" s="186"/>
      <c r="F1152" s="186"/>
      <c r="G1152" s="186"/>
      <c r="H1152" s="186"/>
      <c r="I1152" s="186"/>
      <c r="J1152" s="186"/>
      <c r="K1152" s="186"/>
      <c r="L1152" s="370"/>
      <c r="M1152" s="370"/>
      <c r="N1152" s="370"/>
      <c r="O1152" s="370"/>
      <c r="P1152" s="370"/>
      <c r="Q1152" s="186"/>
      <c r="R1152" s="186"/>
      <c r="S1152" s="186"/>
      <c r="T1152" s="186"/>
      <c r="U1152" s="186"/>
      <c r="V1152" s="186"/>
      <c r="W1152" s="186"/>
      <c r="X1152" s="186"/>
      <c r="Y1152" s="186"/>
      <c r="Z1152" s="305"/>
      <c r="AA1152" s="60"/>
      <c r="AB1152" s="60"/>
      <c r="AC1152" s="60"/>
      <c r="AD1152" s="60"/>
      <c r="AE1152" s="60"/>
      <c r="AF1152" s="60"/>
      <c r="AG1152" s="60"/>
      <c r="AH1152" s="60"/>
      <c r="AI1152" s="60"/>
      <c r="AJ1152" s="60"/>
    </row>
    <row r="1153" spans="2:36" s="59" customFormat="1">
      <c r="B1153" s="203"/>
      <c r="C1153" s="186"/>
      <c r="D1153" s="186"/>
      <c r="E1153" s="186"/>
      <c r="F1153" s="186"/>
      <c r="G1153" s="186"/>
      <c r="H1153" s="186"/>
      <c r="I1153" s="186"/>
      <c r="J1153" s="186"/>
      <c r="K1153" s="186"/>
      <c r="L1153" s="370"/>
      <c r="M1153" s="370"/>
      <c r="N1153" s="370"/>
      <c r="O1153" s="370"/>
      <c r="P1153" s="370"/>
      <c r="Q1153" s="186"/>
      <c r="R1153" s="186"/>
      <c r="S1153" s="186"/>
      <c r="T1153" s="186"/>
      <c r="U1153" s="186"/>
      <c r="V1153" s="186"/>
      <c r="W1153" s="186"/>
      <c r="X1153" s="186"/>
      <c r="Y1153" s="186"/>
      <c r="Z1153" s="305"/>
      <c r="AA1153" s="60"/>
      <c r="AB1153" s="60"/>
      <c r="AC1153" s="60"/>
      <c r="AD1153" s="60"/>
      <c r="AE1153" s="60"/>
      <c r="AF1153" s="60"/>
      <c r="AG1153" s="60"/>
      <c r="AH1153" s="60"/>
      <c r="AI1153" s="60"/>
      <c r="AJ1153" s="60"/>
    </row>
    <row r="1154" spans="2:36" s="59" customFormat="1">
      <c r="B1154" s="203"/>
      <c r="C1154" s="186"/>
      <c r="D1154" s="186"/>
      <c r="E1154" s="186"/>
      <c r="F1154" s="186"/>
      <c r="G1154" s="186"/>
      <c r="H1154" s="186"/>
      <c r="I1154" s="186"/>
      <c r="J1154" s="186"/>
      <c r="K1154" s="186"/>
      <c r="L1154" s="370"/>
      <c r="M1154" s="370"/>
      <c r="N1154" s="370"/>
      <c r="O1154" s="370"/>
      <c r="P1154" s="370"/>
      <c r="Q1154" s="186"/>
      <c r="R1154" s="186"/>
      <c r="S1154" s="186"/>
      <c r="T1154" s="186"/>
      <c r="U1154" s="186"/>
      <c r="V1154" s="186"/>
      <c r="W1154" s="186"/>
      <c r="X1154" s="186"/>
      <c r="Y1154" s="186"/>
      <c r="Z1154" s="305"/>
      <c r="AA1154" s="60"/>
      <c r="AB1154" s="60"/>
      <c r="AC1154" s="60"/>
      <c r="AD1154" s="60"/>
      <c r="AE1154" s="60"/>
      <c r="AF1154" s="60"/>
      <c r="AG1154" s="60"/>
      <c r="AH1154" s="60"/>
      <c r="AI1154" s="60"/>
      <c r="AJ1154" s="60"/>
    </row>
    <row r="1155" spans="2:36" s="59" customFormat="1">
      <c r="B1155" s="203"/>
      <c r="C1155" s="186"/>
      <c r="D1155" s="186"/>
      <c r="E1155" s="186"/>
      <c r="F1155" s="186"/>
      <c r="G1155" s="186"/>
      <c r="H1155" s="186"/>
      <c r="I1155" s="186"/>
      <c r="J1155" s="186"/>
      <c r="K1155" s="186"/>
      <c r="L1155" s="370"/>
      <c r="M1155" s="370"/>
      <c r="N1155" s="370"/>
      <c r="O1155" s="370"/>
      <c r="P1155" s="370"/>
      <c r="Q1155" s="186"/>
      <c r="R1155" s="186"/>
      <c r="S1155" s="186"/>
      <c r="T1155" s="186"/>
      <c r="U1155" s="186"/>
      <c r="V1155" s="186"/>
      <c r="W1155" s="186"/>
      <c r="X1155" s="186"/>
      <c r="Y1155" s="186"/>
      <c r="Z1155" s="305"/>
      <c r="AA1155" s="60"/>
      <c r="AB1155" s="60"/>
      <c r="AC1155" s="60"/>
      <c r="AD1155" s="60"/>
      <c r="AE1155" s="60"/>
      <c r="AF1155" s="60"/>
      <c r="AG1155" s="60"/>
      <c r="AH1155" s="60"/>
      <c r="AI1155" s="60"/>
      <c r="AJ1155" s="60"/>
    </row>
    <row r="1156" spans="2:36" s="59" customFormat="1">
      <c r="B1156" s="203"/>
      <c r="C1156" s="186"/>
      <c r="D1156" s="186"/>
      <c r="E1156" s="186"/>
      <c r="F1156" s="186"/>
      <c r="G1156" s="186"/>
      <c r="H1156" s="186"/>
      <c r="I1156" s="186"/>
      <c r="J1156" s="186"/>
      <c r="K1156" s="186"/>
      <c r="L1156" s="370"/>
      <c r="M1156" s="370"/>
      <c r="N1156" s="370"/>
      <c r="O1156" s="370"/>
      <c r="P1156" s="370"/>
      <c r="Q1156" s="186"/>
      <c r="R1156" s="186"/>
      <c r="S1156" s="186"/>
      <c r="T1156" s="186"/>
      <c r="U1156" s="186"/>
      <c r="V1156" s="186"/>
      <c r="W1156" s="186"/>
      <c r="X1156" s="186"/>
      <c r="Y1156" s="186"/>
      <c r="Z1156" s="305"/>
      <c r="AA1156" s="60"/>
      <c r="AB1156" s="60"/>
      <c r="AC1156" s="60"/>
      <c r="AD1156" s="60"/>
      <c r="AE1156" s="60"/>
      <c r="AF1156" s="60"/>
      <c r="AG1156" s="60"/>
      <c r="AH1156" s="60"/>
      <c r="AI1156" s="60"/>
      <c r="AJ1156" s="60"/>
    </row>
    <row r="1157" spans="2:36" s="59" customFormat="1">
      <c r="B1157" s="203"/>
      <c r="C1157" s="186"/>
      <c r="D1157" s="186"/>
      <c r="E1157" s="186"/>
      <c r="F1157" s="186"/>
      <c r="G1157" s="186"/>
      <c r="H1157" s="186"/>
      <c r="I1157" s="186"/>
      <c r="J1157" s="186"/>
      <c r="K1157" s="186"/>
      <c r="L1157" s="370"/>
      <c r="M1157" s="370"/>
      <c r="N1157" s="370"/>
      <c r="O1157" s="370"/>
      <c r="P1157" s="370"/>
      <c r="Q1157" s="186"/>
      <c r="R1157" s="186"/>
      <c r="S1157" s="186"/>
      <c r="T1157" s="186"/>
      <c r="U1157" s="186"/>
      <c r="V1157" s="186"/>
      <c r="W1157" s="186"/>
      <c r="X1157" s="186"/>
      <c r="Y1157" s="186"/>
      <c r="Z1157" s="305"/>
      <c r="AA1157" s="60"/>
      <c r="AB1157" s="60"/>
      <c r="AC1157" s="60"/>
      <c r="AD1157" s="60"/>
      <c r="AE1157" s="60"/>
      <c r="AF1157" s="60"/>
      <c r="AG1157" s="60"/>
      <c r="AH1157" s="60"/>
      <c r="AI1157" s="60"/>
      <c r="AJ1157" s="60"/>
    </row>
    <row r="1158" spans="2:36" s="59" customFormat="1">
      <c r="B1158" s="203"/>
      <c r="C1158" s="186"/>
      <c r="D1158" s="186"/>
      <c r="E1158" s="186"/>
      <c r="F1158" s="186"/>
      <c r="G1158" s="186"/>
      <c r="H1158" s="186"/>
      <c r="I1158" s="186"/>
      <c r="J1158" s="186"/>
      <c r="K1158" s="186"/>
      <c r="L1158" s="370"/>
      <c r="M1158" s="370"/>
      <c r="N1158" s="370"/>
      <c r="O1158" s="370"/>
      <c r="P1158" s="370"/>
      <c r="Q1158" s="186"/>
      <c r="R1158" s="186"/>
      <c r="S1158" s="186"/>
      <c r="T1158" s="186"/>
      <c r="U1158" s="186"/>
      <c r="V1158" s="186"/>
      <c r="W1158" s="186"/>
      <c r="X1158" s="186"/>
      <c r="Y1158" s="186"/>
      <c r="Z1158" s="305"/>
      <c r="AA1158" s="60"/>
      <c r="AB1158" s="60"/>
      <c r="AC1158" s="60"/>
      <c r="AD1158" s="60"/>
      <c r="AE1158" s="60"/>
      <c r="AF1158" s="60"/>
      <c r="AG1158" s="60"/>
      <c r="AH1158" s="60"/>
      <c r="AI1158" s="60"/>
      <c r="AJ1158" s="60"/>
    </row>
    <row r="1159" spans="2:36" s="59" customFormat="1">
      <c r="B1159" s="203"/>
      <c r="C1159" s="186"/>
      <c r="D1159" s="186"/>
      <c r="E1159" s="186"/>
      <c r="F1159" s="186"/>
      <c r="G1159" s="186"/>
      <c r="H1159" s="186"/>
      <c r="I1159" s="186"/>
      <c r="J1159" s="186"/>
      <c r="K1159" s="186"/>
      <c r="L1159" s="370"/>
      <c r="M1159" s="370"/>
      <c r="N1159" s="370"/>
      <c r="O1159" s="370"/>
      <c r="P1159" s="370"/>
      <c r="Q1159" s="186"/>
      <c r="R1159" s="186"/>
      <c r="S1159" s="186"/>
      <c r="T1159" s="186"/>
      <c r="U1159" s="186"/>
      <c r="V1159" s="186"/>
      <c r="W1159" s="186"/>
      <c r="X1159" s="186"/>
      <c r="Y1159" s="186"/>
      <c r="Z1159" s="305"/>
      <c r="AA1159" s="60"/>
      <c r="AB1159" s="60"/>
      <c r="AC1159" s="60"/>
      <c r="AD1159" s="60"/>
      <c r="AE1159" s="60"/>
      <c r="AF1159" s="60"/>
      <c r="AG1159" s="60"/>
      <c r="AH1159" s="60"/>
      <c r="AI1159" s="60"/>
      <c r="AJ1159" s="60"/>
    </row>
    <row r="1160" spans="2:36" s="59" customFormat="1">
      <c r="B1160" s="203"/>
      <c r="C1160" s="186"/>
      <c r="D1160" s="186"/>
      <c r="E1160" s="186"/>
      <c r="F1160" s="186"/>
      <c r="G1160" s="186"/>
      <c r="H1160" s="186"/>
      <c r="I1160" s="186"/>
      <c r="J1160" s="186"/>
      <c r="K1160" s="186"/>
      <c r="L1160" s="370"/>
      <c r="M1160" s="370"/>
      <c r="N1160" s="370"/>
      <c r="O1160" s="370"/>
      <c r="P1160" s="370"/>
      <c r="Q1160" s="186"/>
      <c r="R1160" s="186"/>
      <c r="S1160" s="186"/>
      <c r="T1160" s="186"/>
      <c r="U1160" s="186"/>
      <c r="V1160" s="186"/>
      <c r="W1160" s="186"/>
      <c r="X1160" s="186"/>
      <c r="Y1160" s="186"/>
      <c r="Z1160" s="305"/>
      <c r="AA1160" s="60"/>
      <c r="AB1160" s="60"/>
      <c r="AC1160" s="60"/>
      <c r="AD1160" s="60"/>
      <c r="AE1160" s="60"/>
      <c r="AF1160" s="60"/>
      <c r="AG1160" s="60"/>
      <c r="AH1160" s="60"/>
      <c r="AI1160" s="60"/>
      <c r="AJ1160" s="60"/>
    </row>
    <row r="1161" spans="2:36" s="59" customFormat="1">
      <c r="B1161" s="203"/>
      <c r="C1161" s="186"/>
      <c r="D1161" s="186"/>
      <c r="E1161" s="186"/>
      <c r="F1161" s="186"/>
      <c r="G1161" s="186"/>
      <c r="H1161" s="186"/>
      <c r="I1161" s="186"/>
      <c r="J1161" s="186"/>
      <c r="K1161" s="186"/>
      <c r="L1161" s="370"/>
      <c r="M1161" s="370"/>
      <c r="N1161" s="370"/>
      <c r="O1161" s="370"/>
      <c r="P1161" s="370"/>
      <c r="Q1161" s="186"/>
      <c r="R1161" s="186"/>
      <c r="S1161" s="186"/>
      <c r="T1161" s="186"/>
      <c r="U1161" s="186"/>
      <c r="V1161" s="186"/>
      <c r="W1161" s="186"/>
      <c r="X1161" s="186"/>
      <c r="Y1161" s="186"/>
      <c r="Z1161" s="305"/>
      <c r="AA1161" s="60"/>
      <c r="AB1161" s="60"/>
      <c r="AC1161" s="60"/>
      <c r="AD1161" s="60"/>
      <c r="AE1161" s="60"/>
      <c r="AF1161" s="60"/>
      <c r="AG1161" s="60"/>
      <c r="AH1161" s="60"/>
      <c r="AI1161" s="60"/>
      <c r="AJ1161" s="60"/>
    </row>
    <row r="1162" spans="2:36" s="59" customFormat="1">
      <c r="B1162" s="203"/>
      <c r="C1162" s="186"/>
      <c r="D1162" s="186"/>
      <c r="E1162" s="186"/>
      <c r="F1162" s="186"/>
      <c r="G1162" s="186"/>
      <c r="H1162" s="186"/>
      <c r="I1162" s="186"/>
      <c r="J1162" s="186"/>
      <c r="K1162" s="186"/>
      <c r="L1162" s="370"/>
      <c r="M1162" s="370"/>
      <c r="N1162" s="370"/>
      <c r="O1162" s="370"/>
      <c r="P1162" s="370"/>
      <c r="Q1162" s="186"/>
      <c r="R1162" s="186"/>
      <c r="S1162" s="186"/>
      <c r="T1162" s="186"/>
      <c r="U1162" s="186"/>
      <c r="V1162" s="186"/>
      <c r="W1162" s="186"/>
      <c r="X1162" s="186"/>
      <c r="Y1162" s="186"/>
      <c r="Z1162" s="305"/>
      <c r="AA1162" s="60"/>
      <c r="AB1162" s="60"/>
      <c r="AC1162" s="60"/>
      <c r="AD1162" s="60"/>
      <c r="AE1162" s="60"/>
      <c r="AF1162" s="60"/>
      <c r="AG1162" s="60"/>
      <c r="AH1162" s="60"/>
      <c r="AI1162" s="60"/>
      <c r="AJ1162" s="60"/>
    </row>
    <row r="1163" spans="2:36" s="59" customFormat="1">
      <c r="B1163" s="203"/>
      <c r="C1163" s="186"/>
      <c r="D1163" s="186"/>
      <c r="E1163" s="186"/>
      <c r="F1163" s="186"/>
      <c r="G1163" s="186"/>
      <c r="H1163" s="186"/>
      <c r="I1163" s="186"/>
      <c r="J1163" s="186"/>
      <c r="K1163" s="186"/>
      <c r="L1163" s="370"/>
      <c r="M1163" s="370"/>
      <c r="N1163" s="370"/>
      <c r="O1163" s="370"/>
      <c r="P1163" s="370"/>
      <c r="Q1163" s="186"/>
      <c r="R1163" s="186"/>
      <c r="S1163" s="186"/>
      <c r="T1163" s="186"/>
      <c r="U1163" s="186"/>
      <c r="V1163" s="186"/>
      <c r="W1163" s="186"/>
      <c r="X1163" s="186"/>
      <c r="Y1163" s="186"/>
      <c r="Z1163" s="305"/>
      <c r="AA1163" s="60"/>
      <c r="AB1163" s="60"/>
      <c r="AC1163" s="60"/>
      <c r="AD1163" s="60"/>
      <c r="AE1163" s="60"/>
      <c r="AF1163" s="60"/>
      <c r="AG1163" s="60"/>
      <c r="AH1163" s="60"/>
      <c r="AI1163" s="60"/>
      <c r="AJ1163" s="60"/>
    </row>
    <row r="1164" spans="2:36" s="59" customFormat="1">
      <c r="B1164" s="203"/>
      <c r="C1164" s="186"/>
      <c r="D1164" s="186"/>
      <c r="E1164" s="186"/>
      <c r="F1164" s="186"/>
      <c r="G1164" s="186"/>
      <c r="H1164" s="186"/>
      <c r="I1164" s="186"/>
      <c r="J1164" s="186"/>
      <c r="K1164" s="186"/>
      <c r="L1164" s="370"/>
      <c r="M1164" s="370"/>
      <c r="N1164" s="370"/>
      <c r="O1164" s="370"/>
      <c r="P1164" s="370"/>
      <c r="Q1164" s="186"/>
      <c r="R1164" s="186"/>
      <c r="S1164" s="186"/>
      <c r="T1164" s="186"/>
      <c r="U1164" s="186"/>
      <c r="V1164" s="186"/>
      <c r="W1164" s="186"/>
      <c r="X1164" s="186"/>
      <c r="Y1164" s="186"/>
      <c r="Z1164" s="305"/>
      <c r="AA1164" s="60"/>
      <c r="AB1164" s="60"/>
      <c r="AC1164" s="60"/>
      <c r="AD1164" s="60"/>
      <c r="AE1164" s="60"/>
      <c r="AF1164" s="60"/>
      <c r="AG1164" s="60"/>
      <c r="AH1164" s="60"/>
      <c r="AI1164" s="60"/>
      <c r="AJ1164" s="60"/>
    </row>
    <row r="1165" spans="2:36" s="59" customFormat="1">
      <c r="B1165" s="203"/>
      <c r="C1165" s="186"/>
      <c r="D1165" s="186"/>
      <c r="E1165" s="186"/>
      <c r="F1165" s="186"/>
      <c r="G1165" s="186"/>
      <c r="H1165" s="186"/>
      <c r="I1165" s="186"/>
      <c r="J1165" s="186"/>
      <c r="K1165" s="186"/>
      <c r="L1165" s="370"/>
      <c r="M1165" s="370"/>
      <c r="N1165" s="370"/>
      <c r="O1165" s="370"/>
      <c r="P1165" s="370"/>
      <c r="Q1165" s="186"/>
      <c r="R1165" s="186"/>
      <c r="S1165" s="186"/>
      <c r="T1165" s="186"/>
      <c r="U1165" s="186"/>
      <c r="V1165" s="186"/>
      <c r="W1165" s="186"/>
      <c r="X1165" s="186"/>
      <c r="Y1165" s="186"/>
      <c r="Z1165" s="305"/>
      <c r="AA1165" s="60"/>
      <c r="AB1165" s="60"/>
      <c r="AC1165" s="60"/>
      <c r="AD1165" s="60"/>
      <c r="AE1165" s="60"/>
      <c r="AF1165" s="60"/>
      <c r="AG1165" s="60"/>
      <c r="AH1165" s="60"/>
      <c r="AI1165" s="60"/>
      <c r="AJ1165" s="60"/>
    </row>
    <row r="1166" spans="2:36" s="59" customFormat="1">
      <c r="B1166" s="203"/>
      <c r="C1166" s="186"/>
      <c r="D1166" s="186"/>
      <c r="E1166" s="186"/>
      <c r="F1166" s="186"/>
      <c r="G1166" s="186"/>
      <c r="H1166" s="186"/>
      <c r="I1166" s="186"/>
      <c r="J1166" s="186"/>
      <c r="K1166" s="186"/>
      <c r="L1166" s="370"/>
      <c r="M1166" s="370"/>
      <c r="N1166" s="370"/>
      <c r="O1166" s="370"/>
      <c r="P1166" s="370"/>
      <c r="Q1166" s="186"/>
      <c r="R1166" s="186"/>
      <c r="S1166" s="186"/>
      <c r="T1166" s="186"/>
      <c r="U1166" s="186"/>
      <c r="V1166" s="186"/>
      <c r="W1166" s="186"/>
      <c r="X1166" s="186"/>
      <c r="Y1166" s="186"/>
      <c r="Z1166" s="305"/>
      <c r="AA1166" s="60"/>
      <c r="AB1166" s="60"/>
      <c r="AC1166" s="60"/>
      <c r="AD1166" s="60"/>
      <c r="AE1166" s="60"/>
      <c r="AF1166" s="60"/>
      <c r="AG1166" s="60"/>
      <c r="AH1166" s="60"/>
      <c r="AI1166" s="60"/>
      <c r="AJ1166" s="60"/>
    </row>
    <row r="1167" spans="2:36" s="59" customFormat="1">
      <c r="B1167" s="203"/>
      <c r="C1167" s="186"/>
      <c r="D1167" s="186"/>
      <c r="E1167" s="186"/>
      <c r="F1167" s="186"/>
      <c r="G1167" s="186"/>
      <c r="H1167" s="186"/>
      <c r="I1167" s="186"/>
      <c r="J1167" s="186"/>
      <c r="K1167" s="186"/>
      <c r="L1167" s="370"/>
      <c r="M1167" s="370"/>
      <c r="N1167" s="370"/>
      <c r="O1167" s="370"/>
      <c r="P1167" s="370"/>
      <c r="Q1167" s="186"/>
      <c r="R1167" s="186"/>
      <c r="S1167" s="186"/>
      <c r="T1167" s="186"/>
      <c r="U1167" s="186"/>
      <c r="V1167" s="186"/>
      <c r="W1167" s="186"/>
      <c r="X1167" s="186"/>
      <c r="Y1167" s="186"/>
      <c r="Z1167" s="305"/>
      <c r="AA1167" s="60"/>
      <c r="AB1167" s="60"/>
      <c r="AC1167" s="60"/>
      <c r="AD1167" s="60"/>
      <c r="AE1167" s="60"/>
      <c r="AF1167" s="60"/>
      <c r="AG1167" s="60"/>
      <c r="AH1167" s="60"/>
      <c r="AI1167" s="60"/>
      <c r="AJ1167" s="60"/>
    </row>
    <row r="1168" spans="2:36" s="59" customFormat="1">
      <c r="B1168" s="203"/>
      <c r="C1168" s="186"/>
      <c r="D1168" s="186"/>
      <c r="E1168" s="186"/>
      <c r="F1168" s="186"/>
      <c r="G1168" s="186"/>
      <c r="H1168" s="186"/>
      <c r="I1168" s="186"/>
      <c r="J1168" s="186"/>
      <c r="K1168" s="186"/>
      <c r="L1168" s="370"/>
      <c r="M1168" s="370"/>
      <c r="N1168" s="370"/>
      <c r="O1168" s="370"/>
      <c r="P1168" s="370"/>
      <c r="Q1168" s="186"/>
      <c r="R1168" s="186"/>
      <c r="S1168" s="186"/>
      <c r="T1168" s="186"/>
      <c r="U1168" s="186"/>
      <c r="V1168" s="186"/>
      <c r="W1168" s="186"/>
      <c r="X1168" s="186"/>
      <c r="Y1168" s="186"/>
      <c r="Z1168" s="305"/>
      <c r="AA1168" s="60"/>
      <c r="AB1168" s="60"/>
      <c r="AC1168" s="60"/>
      <c r="AD1168" s="60"/>
      <c r="AE1168" s="60"/>
      <c r="AF1168" s="60"/>
      <c r="AG1168" s="60"/>
      <c r="AH1168" s="60"/>
      <c r="AI1168" s="60"/>
      <c r="AJ1168" s="60"/>
    </row>
    <row r="1169" spans="2:36" s="59" customFormat="1">
      <c r="B1169" s="203"/>
      <c r="C1169" s="186"/>
      <c r="D1169" s="186"/>
      <c r="E1169" s="186"/>
      <c r="F1169" s="186"/>
      <c r="G1169" s="186"/>
      <c r="H1169" s="186"/>
      <c r="I1169" s="186"/>
      <c r="J1169" s="186"/>
      <c r="K1169" s="186"/>
      <c r="L1169" s="370"/>
      <c r="M1169" s="370"/>
      <c r="N1169" s="370"/>
      <c r="O1169" s="370"/>
      <c r="P1169" s="370"/>
      <c r="Q1169" s="186"/>
      <c r="R1169" s="186"/>
      <c r="S1169" s="186"/>
      <c r="T1169" s="186"/>
      <c r="U1169" s="186"/>
      <c r="V1169" s="186"/>
      <c r="W1169" s="186"/>
      <c r="X1169" s="186"/>
      <c r="Y1169" s="186"/>
      <c r="Z1169" s="305"/>
      <c r="AA1169" s="60"/>
      <c r="AB1169" s="60"/>
      <c r="AC1169" s="60"/>
      <c r="AD1169" s="60"/>
      <c r="AE1169" s="60"/>
      <c r="AF1169" s="60"/>
      <c r="AG1169" s="60"/>
      <c r="AH1169" s="60"/>
      <c r="AI1169" s="60"/>
      <c r="AJ1169" s="60"/>
    </row>
    <row r="1170" spans="2:36" s="59" customFormat="1">
      <c r="B1170" s="203"/>
      <c r="C1170" s="186"/>
      <c r="D1170" s="186"/>
      <c r="E1170" s="186"/>
      <c r="F1170" s="186"/>
      <c r="G1170" s="186"/>
      <c r="H1170" s="186"/>
      <c r="I1170" s="186"/>
      <c r="J1170" s="186"/>
      <c r="K1170" s="186"/>
      <c r="L1170" s="370"/>
      <c r="M1170" s="370"/>
      <c r="N1170" s="370"/>
      <c r="O1170" s="370"/>
      <c r="P1170" s="370"/>
      <c r="Q1170" s="186"/>
      <c r="R1170" s="186"/>
      <c r="S1170" s="186"/>
      <c r="T1170" s="186"/>
      <c r="U1170" s="186"/>
      <c r="V1170" s="186"/>
      <c r="W1170" s="186"/>
      <c r="X1170" s="186"/>
      <c r="Y1170" s="186"/>
      <c r="Z1170" s="305"/>
      <c r="AA1170" s="60"/>
      <c r="AB1170" s="60"/>
      <c r="AC1170" s="60"/>
      <c r="AD1170" s="60"/>
      <c r="AE1170" s="60"/>
      <c r="AF1170" s="60"/>
      <c r="AG1170" s="60"/>
      <c r="AH1170" s="60"/>
      <c r="AI1170" s="60"/>
      <c r="AJ1170" s="60"/>
    </row>
    <row r="1171" spans="2:36" s="59" customFormat="1">
      <c r="B1171" s="203"/>
      <c r="C1171" s="186"/>
      <c r="D1171" s="186"/>
      <c r="E1171" s="186"/>
      <c r="F1171" s="186"/>
      <c r="G1171" s="186"/>
      <c r="H1171" s="186"/>
      <c r="I1171" s="186"/>
      <c r="J1171" s="186"/>
      <c r="K1171" s="186"/>
      <c r="L1171" s="370"/>
      <c r="M1171" s="370"/>
      <c r="N1171" s="370"/>
      <c r="O1171" s="370"/>
      <c r="P1171" s="370"/>
      <c r="Q1171" s="186"/>
      <c r="R1171" s="186"/>
      <c r="S1171" s="186"/>
      <c r="T1171" s="186"/>
      <c r="U1171" s="186"/>
      <c r="V1171" s="186"/>
      <c r="W1171" s="186"/>
      <c r="X1171" s="186"/>
      <c r="Y1171" s="186"/>
      <c r="Z1171" s="305"/>
      <c r="AA1171" s="60"/>
      <c r="AB1171" s="60"/>
      <c r="AC1171" s="60"/>
      <c r="AD1171" s="60"/>
      <c r="AE1171" s="60"/>
      <c r="AF1171" s="60"/>
      <c r="AG1171" s="60"/>
      <c r="AH1171" s="60"/>
      <c r="AI1171" s="60"/>
      <c r="AJ1171" s="60"/>
    </row>
    <row r="1172" spans="2:36" s="59" customFormat="1">
      <c r="B1172" s="203"/>
      <c r="C1172" s="186"/>
      <c r="D1172" s="186"/>
      <c r="E1172" s="186"/>
      <c r="F1172" s="186"/>
      <c r="G1172" s="186"/>
      <c r="H1172" s="186"/>
      <c r="I1172" s="186"/>
      <c r="J1172" s="186"/>
      <c r="K1172" s="186"/>
      <c r="L1172" s="370"/>
      <c r="M1172" s="370"/>
      <c r="N1172" s="370"/>
      <c r="O1172" s="370"/>
      <c r="P1172" s="370"/>
      <c r="Q1172" s="186"/>
      <c r="R1172" s="186"/>
      <c r="S1172" s="186"/>
      <c r="T1172" s="186"/>
      <c r="U1172" s="186"/>
      <c r="V1172" s="186"/>
      <c r="W1172" s="186"/>
      <c r="X1172" s="186"/>
      <c r="Y1172" s="186"/>
      <c r="Z1172" s="305"/>
      <c r="AA1172" s="60"/>
      <c r="AB1172" s="60"/>
      <c r="AC1172" s="60"/>
      <c r="AD1172" s="60"/>
      <c r="AE1172" s="60"/>
      <c r="AF1172" s="60"/>
      <c r="AG1172" s="60"/>
      <c r="AH1172" s="60"/>
      <c r="AI1172" s="60"/>
      <c r="AJ1172" s="60"/>
    </row>
    <row r="1173" spans="2:36" s="59" customFormat="1">
      <c r="B1173" s="203"/>
      <c r="C1173" s="186"/>
      <c r="D1173" s="186"/>
      <c r="E1173" s="186"/>
      <c r="F1173" s="186"/>
      <c r="G1173" s="186"/>
      <c r="H1173" s="186"/>
      <c r="I1173" s="186"/>
      <c r="J1173" s="186"/>
      <c r="K1173" s="186"/>
      <c r="L1173" s="370"/>
      <c r="M1173" s="370"/>
      <c r="N1173" s="370"/>
      <c r="O1173" s="370"/>
      <c r="P1173" s="370"/>
      <c r="Q1173" s="186"/>
      <c r="R1173" s="186"/>
      <c r="S1173" s="186"/>
      <c r="T1173" s="186"/>
      <c r="U1173" s="186"/>
      <c r="V1173" s="186"/>
      <c r="W1173" s="186"/>
      <c r="X1173" s="186"/>
      <c r="Y1173" s="186"/>
      <c r="Z1173" s="305"/>
      <c r="AA1173" s="60"/>
      <c r="AB1173" s="60"/>
      <c r="AC1173" s="60"/>
      <c r="AD1173" s="60"/>
      <c r="AE1173" s="60"/>
      <c r="AF1173" s="60"/>
      <c r="AG1173" s="60"/>
      <c r="AH1173" s="60"/>
      <c r="AI1173" s="60"/>
      <c r="AJ1173" s="60"/>
    </row>
    <row r="1174" spans="2:36" s="59" customFormat="1">
      <c r="B1174" s="203"/>
      <c r="C1174" s="186"/>
      <c r="D1174" s="186"/>
      <c r="E1174" s="186"/>
      <c r="F1174" s="186"/>
      <c r="G1174" s="186"/>
      <c r="H1174" s="186"/>
      <c r="I1174" s="186"/>
      <c r="J1174" s="186"/>
      <c r="K1174" s="186"/>
      <c r="L1174" s="370"/>
      <c r="M1174" s="370"/>
      <c r="N1174" s="370"/>
      <c r="O1174" s="370"/>
      <c r="P1174" s="370"/>
      <c r="Q1174" s="186"/>
      <c r="R1174" s="186"/>
      <c r="S1174" s="186"/>
      <c r="T1174" s="186"/>
      <c r="U1174" s="186"/>
      <c r="V1174" s="186"/>
      <c r="W1174" s="186"/>
      <c r="X1174" s="186"/>
      <c r="Y1174" s="186"/>
      <c r="Z1174" s="305"/>
      <c r="AA1174" s="60"/>
      <c r="AB1174" s="60"/>
      <c r="AC1174" s="60"/>
      <c r="AD1174" s="60"/>
      <c r="AE1174" s="60"/>
      <c r="AF1174" s="60"/>
      <c r="AG1174" s="60"/>
      <c r="AH1174" s="60"/>
      <c r="AI1174" s="60"/>
      <c r="AJ1174" s="60"/>
    </row>
    <row r="1175" spans="2:36" s="59" customFormat="1">
      <c r="B1175" s="203"/>
      <c r="C1175" s="186"/>
      <c r="D1175" s="186"/>
      <c r="E1175" s="186"/>
      <c r="F1175" s="186"/>
      <c r="G1175" s="186"/>
      <c r="H1175" s="186"/>
      <c r="I1175" s="186"/>
      <c r="J1175" s="186"/>
      <c r="K1175" s="186"/>
      <c r="L1175" s="370"/>
      <c r="M1175" s="370"/>
      <c r="N1175" s="370"/>
      <c r="O1175" s="370"/>
      <c r="P1175" s="370"/>
      <c r="Q1175" s="186"/>
      <c r="R1175" s="186"/>
      <c r="S1175" s="186"/>
      <c r="T1175" s="186"/>
      <c r="U1175" s="186"/>
      <c r="V1175" s="186"/>
      <c r="W1175" s="186"/>
      <c r="X1175" s="186"/>
      <c r="Y1175" s="186"/>
      <c r="Z1175" s="305"/>
      <c r="AA1175" s="60"/>
      <c r="AB1175" s="60"/>
      <c r="AC1175" s="60"/>
      <c r="AD1175" s="60"/>
      <c r="AE1175" s="60"/>
      <c r="AF1175" s="60"/>
      <c r="AG1175" s="60"/>
      <c r="AH1175" s="60"/>
      <c r="AI1175" s="60"/>
      <c r="AJ1175" s="60"/>
    </row>
    <row r="1176" spans="2:36" s="59" customFormat="1">
      <c r="B1176" s="203"/>
      <c r="C1176" s="186"/>
      <c r="D1176" s="186"/>
      <c r="E1176" s="186"/>
      <c r="F1176" s="186"/>
      <c r="G1176" s="186"/>
      <c r="H1176" s="186"/>
      <c r="I1176" s="186"/>
      <c r="J1176" s="186"/>
      <c r="K1176" s="186"/>
      <c r="L1176" s="370"/>
      <c r="M1176" s="370"/>
      <c r="N1176" s="370"/>
      <c r="O1176" s="370"/>
      <c r="P1176" s="370"/>
      <c r="Q1176" s="186"/>
      <c r="R1176" s="186"/>
      <c r="S1176" s="186"/>
      <c r="T1176" s="186"/>
      <c r="U1176" s="186"/>
      <c r="V1176" s="186"/>
      <c r="W1176" s="186"/>
      <c r="X1176" s="186"/>
      <c r="Y1176" s="186"/>
      <c r="Z1176" s="305"/>
      <c r="AA1176" s="60"/>
      <c r="AB1176" s="60"/>
      <c r="AC1176" s="60"/>
      <c r="AD1176" s="60"/>
      <c r="AE1176" s="60"/>
      <c r="AF1176" s="60"/>
      <c r="AG1176" s="60"/>
      <c r="AH1176" s="60"/>
      <c r="AI1176" s="60"/>
      <c r="AJ1176" s="60"/>
    </row>
    <row r="1177" spans="2:36" s="59" customFormat="1">
      <c r="B1177" s="203"/>
      <c r="C1177" s="186"/>
      <c r="D1177" s="186"/>
      <c r="E1177" s="186"/>
      <c r="F1177" s="186"/>
      <c r="G1177" s="186"/>
      <c r="H1177" s="186"/>
      <c r="I1177" s="186"/>
      <c r="J1177" s="186"/>
      <c r="K1177" s="186"/>
      <c r="L1177" s="370"/>
      <c r="M1177" s="370"/>
      <c r="N1177" s="370"/>
      <c r="O1177" s="370"/>
      <c r="P1177" s="370"/>
      <c r="Q1177" s="186"/>
      <c r="R1177" s="186"/>
      <c r="S1177" s="186"/>
      <c r="T1177" s="186"/>
      <c r="U1177" s="186"/>
      <c r="V1177" s="186"/>
      <c r="W1177" s="186"/>
      <c r="X1177" s="186"/>
      <c r="Y1177" s="186"/>
      <c r="Z1177" s="305"/>
      <c r="AA1177" s="60"/>
      <c r="AB1177" s="60"/>
      <c r="AC1177" s="60"/>
      <c r="AD1177" s="60"/>
      <c r="AE1177" s="60"/>
      <c r="AF1177" s="60"/>
      <c r="AG1177" s="60"/>
      <c r="AH1177" s="60"/>
      <c r="AI1177" s="60"/>
      <c r="AJ1177" s="60"/>
    </row>
    <row r="1178" spans="2:36" s="59" customFormat="1">
      <c r="B1178" s="203"/>
      <c r="C1178" s="186"/>
      <c r="D1178" s="186"/>
      <c r="E1178" s="186"/>
      <c r="F1178" s="186"/>
      <c r="G1178" s="186"/>
      <c r="H1178" s="186"/>
      <c r="I1178" s="186"/>
      <c r="J1178" s="186"/>
      <c r="K1178" s="186"/>
      <c r="L1178" s="370"/>
      <c r="M1178" s="370"/>
      <c r="N1178" s="370"/>
      <c r="O1178" s="370"/>
      <c r="P1178" s="370"/>
      <c r="Q1178" s="186"/>
      <c r="R1178" s="186"/>
      <c r="S1178" s="186"/>
      <c r="T1178" s="186"/>
      <c r="U1178" s="186"/>
      <c r="V1178" s="186"/>
      <c r="W1178" s="186"/>
      <c r="X1178" s="186"/>
      <c r="Y1178" s="186"/>
      <c r="Z1178" s="305"/>
      <c r="AA1178" s="60"/>
      <c r="AB1178" s="60"/>
      <c r="AC1178" s="60"/>
      <c r="AD1178" s="60"/>
      <c r="AE1178" s="60"/>
      <c r="AF1178" s="60"/>
      <c r="AG1178" s="60"/>
      <c r="AH1178" s="60"/>
      <c r="AI1178" s="60"/>
      <c r="AJ1178" s="60"/>
    </row>
    <row r="1179" spans="2:36" s="59" customFormat="1">
      <c r="B1179" s="203"/>
      <c r="C1179" s="186"/>
      <c r="D1179" s="186"/>
      <c r="E1179" s="186"/>
      <c r="F1179" s="186"/>
      <c r="G1179" s="186"/>
      <c r="H1179" s="186"/>
      <c r="I1179" s="186"/>
      <c r="J1179" s="186"/>
      <c r="K1179" s="186"/>
      <c r="L1179" s="370"/>
      <c r="M1179" s="370"/>
      <c r="N1179" s="370"/>
      <c r="O1179" s="370"/>
      <c r="P1179" s="370"/>
      <c r="Q1179" s="186"/>
      <c r="R1179" s="186"/>
      <c r="S1179" s="186"/>
      <c r="T1179" s="186"/>
      <c r="U1179" s="186"/>
      <c r="V1179" s="186"/>
      <c r="W1179" s="186"/>
      <c r="X1179" s="186"/>
      <c r="Y1179" s="186"/>
      <c r="Z1179" s="305"/>
      <c r="AA1179" s="60"/>
      <c r="AB1179" s="60"/>
      <c r="AC1179" s="60"/>
      <c r="AD1179" s="60"/>
      <c r="AE1179" s="60"/>
      <c r="AF1179" s="60"/>
      <c r="AG1179" s="60"/>
      <c r="AH1179" s="60"/>
      <c r="AI1179" s="60"/>
      <c r="AJ1179" s="60"/>
    </row>
    <row r="1180" spans="2:36" s="59" customFormat="1">
      <c r="B1180" s="203"/>
      <c r="C1180" s="186"/>
      <c r="D1180" s="186"/>
      <c r="E1180" s="186"/>
      <c r="F1180" s="186"/>
      <c r="G1180" s="186"/>
      <c r="H1180" s="186"/>
      <c r="I1180" s="186"/>
      <c r="J1180" s="186"/>
      <c r="K1180" s="186"/>
      <c r="L1180" s="370"/>
      <c r="M1180" s="370"/>
      <c r="N1180" s="370"/>
      <c r="O1180" s="370"/>
      <c r="P1180" s="370"/>
      <c r="Q1180" s="186"/>
      <c r="R1180" s="186"/>
      <c r="S1180" s="186"/>
      <c r="T1180" s="186"/>
      <c r="U1180" s="186"/>
      <c r="V1180" s="186"/>
      <c r="W1180" s="186"/>
      <c r="X1180" s="186"/>
      <c r="Y1180" s="186"/>
      <c r="Z1180" s="305"/>
      <c r="AA1180" s="60"/>
      <c r="AB1180" s="60"/>
      <c r="AC1180" s="60"/>
      <c r="AD1180" s="60"/>
      <c r="AE1180" s="60"/>
      <c r="AF1180" s="60"/>
      <c r="AG1180" s="60"/>
      <c r="AH1180" s="60"/>
      <c r="AI1180" s="60"/>
      <c r="AJ1180" s="60"/>
    </row>
    <row r="1181" spans="2:36" s="59" customFormat="1">
      <c r="B1181" s="203"/>
      <c r="D1181" s="186"/>
      <c r="F1181" s="209"/>
      <c r="G1181" s="209"/>
      <c r="H1181" s="209"/>
      <c r="I1181" s="209"/>
      <c r="J1181" s="209"/>
      <c r="K1181" s="191"/>
      <c r="L1181" s="363"/>
      <c r="M1181" s="366"/>
      <c r="N1181" s="366"/>
      <c r="O1181" s="365"/>
      <c r="P1181" s="365"/>
      <c r="Q1181" s="192"/>
      <c r="S1181" s="209"/>
      <c r="T1181" s="209"/>
      <c r="U1181" s="192"/>
      <c r="Z1181" s="60"/>
      <c r="AA1181" s="60"/>
      <c r="AB1181" s="60"/>
      <c r="AC1181" s="60"/>
      <c r="AD1181" s="60"/>
      <c r="AE1181" s="60"/>
      <c r="AF1181" s="60"/>
      <c r="AG1181" s="60"/>
      <c r="AH1181" s="60"/>
      <c r="AI1181" s="60"/>
      <c r="AJ1181" s="60"/>
    </row>
    <row r="1182" spans="2:36" s="59" customFormat="1">
      <c r="B1182" s="203"/>
      <c r="D1182" s="186"/>
      <c r="F1182" s="209"/>
      <c r="G1182" s="209"/>
      <c r="H1182" s="209"/>
      <c r="I1182" s="209"/>
      <c r="J1182" s="209"/>
      <c r="K1182" s="191"/>
      <c r="L1182" s="363"/>
      <c r="M1182" s="366"/>
      <c r="N1182" s="366"/>
      <c r="O1182" s="365"/>
      <c r="P1182" s="365"/>
      <c r="Q1182" s="192"/>
      <c r="S1182" s="209"/>
      <c r="T1182" s="209"/>
      <c r="U1182" s="192"/>
      <c r="Z1182" s="60"/>
      <c r="AA1182" s="60"/>
      <c r="AB1182" s="60"/>
      <c r="AC1182" s="60"/>
      <c r="AD1182" s="60"/>
      <c r="AE1182" s="60"/>
      <c r="AF1182" s="60"/>
      <c r="AG1182" s="60"/>
      <c r="AH1182" s="60"/>
      <c r="AI1182" s="60"/>
      <c r="AJ1182" s="60"/>
    </row>
    <row r="1183" spans="2:36" s="59" customFormat="1">
      <c r="B1183" s="203"/>
      <c r="D1183" s="186"/>
      <c r="F1183" s="209"/>
      <c r="G1183" s="209"/>
      <c r="H1183" s="209"/>
      <c r="I1183" s="209"/>
      <c r="J1183" s="209"/>
      <c r="K1183" s="191"/>
      <c r="L1183" s="363"/>
      <c r="M1183" s="366"/>
      <c r="N1183" s="366"/>
      <c r="O1183" s="365"/>
      <c r="P1183" s="365"/>
      <c r="Q1183" s="192"/>
      <c r="S1183" s="209"/>
      <c r="T1183" s="209"/>
      <c r="U1183" s="192"/>
      <c r="Z1183" s="60"/>
      <c r="AA1183" s="60"/>
      <c r="AB1183" s="60"/>
      <c r="AC1183" s="60"/>
      <c r="AD1183" s="60"/>
      <c r="AE1183" s="60"/>
      <c r="AF1183" s="60"/>
      <c r="AG1183" s="60"/>
      <c r="AH1183" s="60"/>
      <c r="AI1183" s="60"/>
      <c r="AJ1183" s="60"/>
    </row>
    <row r="1184" spans="2:36" s="59" customFormat="1">
      <c r="B1184" s="203"/>
      <c r="D1184" s="186"/>
      <c r="F1184" s="209"/>
      <c r="G1184" s="209"/>
      <c r="H1184" s="209"/>
      <c r="I1184" s="209"/>
      <c r="J1184" s="209"/>
      <c r="K1184" s="191"/>
      <c r="L1184" s="363"/>
      <c r="M1184" s="366"/>
      <c r="N1184" s="366"/>
      <c r="O1184" s="365"/>
      <c r="P1184" s="365"/>
      <c r="Q1184" s="192"/>
      <c r="S1184" s="209"/>
      <c r="T1184" s="209"/>
      <c r="U1184" s="192"/>
      <c r="Z1184" s="60"/>
      <c r="AA1184" s="60"/>
      <c r="AB1184" s="60"/>
      <c r="AC1184" s="60"/>
      <c r="AD1184" s="60"/>
      <c r="AE1184" s="60"/>
      <c r="AF1184" s="60"/>
      <c r="AG1184" s="60"/>
      <c r="AH1184" s="60"/>
      <c r="AI1184" s="60"/>
      <c r="AJ1184" s="60"/>
    </row>
    <row r="1185" spans="2:36" s="59" customFormat="1">
      <c r="B1185" s="203"/>
      <c r="D1185" s="186"/>
      <c r="F1185" s="209"/>
      <c r="G1185" s="209"/>
      <c r="H1185" s="209"/>
      <c r="I1185" s="209"/>
      <c r="J1185" s="209"/>
      <c r="K1185" s="191"/>
      <c r="L1185" s="363"/>
      <c r="M1185" s="366"/>
      <c r="N1185" s="366"/>
      <c r="O1185" s="365"/>
      <c r="P1185" s="365"/>
      <c r="Q1185" s="192"/>
      <c r="S1185" s="209"/>
      <c r="T1185" s="209"/>
      <c r="U1185" s="192"/>
      <c r="Z1185" s="60"/>
      <c r="AA1185" s="60"/>
      <c r="AB1185" s="60"/>
      <c r="AC1185" s="60"/>
      <c r="AD1185" s="60"/>
      <c r="AE1185" s="60"/>
      <c r="AF1185" s="60"/>
      <c r="AG1185" s="60"/>
      <c r="AH1185" s="60"/>
      <c r="AI1185" s="60"/>
      <c r="AJ1185" s="60"/>
    </row>
    <row r="1186" spans="2:36" s="59" customFormat="1">
      <c r="B1186" s="203"/>
      <c r="D1186" s="186"/>
      <c r="F1186" s="209"/>
      <c r="G1186" s="209"/>
      <c r="H1186" s="209"/>
      <c r="I1186" s="209"/>
      <c r="J1186" s="209"/>
      <c r="K1186" s="191"/>
      <c r="L1186" s="363"/>
      <c r="M1186" s="366"/>
      <c r="N1186" s="366"/>
      <c r="O1186" s="365"/>
      <c r="P1186" s="365"/>
      <c r="Q1186" s="192"/>
      <c r="S1186" s="209"/>
      <c r="T1186" s="209"/>
      <c r="U1186" s="192"/>
      <c r="Z1186" s="60"/>
      <c r="AA1186" s="60"/>
      <c r="AB1186" s="60"/>
      <c r="AC1186" s="60"/>
      <c r="AD1186" s="60"/>
      <c r="AE1186" s="60"/>
      <c r="AF1186" s="60"/>
      <c r="AG1186" s="60"/>
      <c r="AH1186" s="60"/>
      <c r="AI1186" s="60"/>
      <c r="AJ1186" s="60"/>
    </row>
    <row r="1187" spans="2:36" s="59" customFormat="1">
      <c r="B1187" s="203"/>
      <c r="D1187" s="186"/>
      <c r="F1187" s="209"/>
      <c r="G1187" s="209"/>
      <c r="H1187" s="209"/>
      <c r="I1187" s="209"/>
      <c r="J1187" s="209"/>
      <c r="K1187" s="191"/>
      <c r="L1187" s="363"/>
      <c r="M1187" s="366"/>
      <c r="N1187" s="366"/>
      <c r="O1187" s="365"/>
      <c r="P1187" s="365"/>
      <c r="Q1187" s="192"/>
      <c r="S1187" s="209"/>
      <c r="T1187" s="209"/>
      <c r="U1187" s="192"/>
      <c r="Z1187" s="60"/>
      <c r="AA1187" s="60"/>
      <c r="AB1187" s="60"/>
      <c r="AC1187" s="60"/>
      <c r="AD1187" s="60"/>
      <c r="AE1187" s="60"/>
      <c r="AF1187" s="60"/>
      <c r="AG1187" s="60"/>
      <c r="AH1187" s="60"/>
      <c r="AI1187" s="60"/>
      <c r="AJ1187" s="60"/>
    </row>
    <row r="1188" spans="2:36" s="59" customFormat="1">
      <c r="B1188" s="203"/>
      <c r="D1188" s="186"/>
      <c r="F1188" s="209"/>
      <c r="G1188" s="209"/>
      <c r="H1188" s="209"/>
      <c r="I1188" s="209"/>
      <c r="J1188" s="209"/>
      <c r="K1188" s="191"/>
      <c r="L1188" s="363"/>
      <c r="M1188" s="366"/>
      <c r="N1188" s="366"/>
      <c r="O1188" s="365"/>
      <c r="P1188" s="365"/>
      <c r="Q1188" s="192"/>
      <c r="S1188" s="209"/>
      <c r="T1188" s="209"/>
      <c r="U1188" s="192"/>
      <c r="Z1188" s="60"/>
      <c r="AA1188" s="60"/>
      <c r="AB1188" s="60"/>
      <c r="AC1188" s="60"/>
      <c r="AD1188" s="60"/>
      <c r="AE1188" s="60"/>
      <c r="AF1188" s="60"/>
      <c r="AG1188" s="60"/>
      <c r="AH1188" s="60"/>
      <c r="AI1188" s="60"/>
      <c r="AJ1188" s="60"/>
    </row>
    <row r="1189" spans="2:36" s="59" customFormat="1">
      <c r="B1189" s="203"/>
      <c r="D1189" s="186"/>
      <c r="F1189" s="209"/>
      <c r="G1189" s="209"/>
      <c r="H1189" s="209"/>
      <c r="I1189" s="209"/>
      <c r="J1189" s="209"/>
      <c r="K1189" s="191"/>
      <c r="L1189" s="363"/>
      <c r="M1189" s="366"/>
      <c r="N1189" s="366"/>
      <c r="O1189" s="365"/>
      <c r="P1189" s="365"/>
      <c r="Q1189" s="192"/>
      <c r="S1189" s="209"/>
      <c r="T1189" s="209"/>
      <c r="U1189" s="192"/>
      <c r="Z1189" s="60"/>
      <c r="AA1189" s="60"/>
      <c r="AB1189" s="60"/>
      <c r="AC1189" s="60"/>
      <c r="AD1189" s="60"/>
      <c r="AE1189" s="60"/>
      <c r="AF1189" s="60"/>
      <c r="AG1189" s="60"/>
      <c r="AH1189" s="60"/>
      <c r="AI1189" s="60"/>
      <c r="AJ1189" s="60"/>
    </row>
    <row r="1190" spans="2:36" s="59" customFormat="1">
      <c r="B1190" s="203"/>
      <c r="D1190" s="186"/>
      <c r="F1190" s="209"/>
      <c r="G1190" s="209"/>
      <c r="H1190" s="209"/>
      <c r="I1190" s="209"/>
      <c r="J1190" s="209"/>
      <c r="K1190" s="191"/>
      <c r="L1190" s="363"/>
      <c r="M1190" s="366"/>
      <c r="N1190" s="366"/>
      <c r="O1190" s="365"/>
      <c r="P1190" s="365"/>
      <c r="Q1190" s="192"/>
      <c r="S1190" s="209"/>
      <c r="T1190" s="209"/>
      <c r="U1190" s="192"/>
      <c r="Z1190" s="60"/>
      <c r="AA1190" s="60"/>
      <c r="AB1190" s="60"/>
      <c r="AC1190" s="60"/>
      <c r="AD1190" s="60"/>
      <c r="AE1190" s="60"/>
      <c r="AF1190" s="60"/>
      <c r="AG1190" s="60"/>
      <c r="AH1190" s="60"/>
      <c r="AI1190" s="60"/>
      <c r="AJ1190" s="60"/>
    </row>
    <row r="1191" spans="2:36" s="59" customFormat="1">
      <c r="B1191" s="203"/>
      <c r="D1191" s="186"/>
      <c r="F1191" s="209"/>
      <c r="G1191" s="209"/>
      <c r="H1191" s="209"/>
      <c r="I1191" s="209"/>
      <c r="J1191" s="209"/>
      <c r="K1191" s="191"/>
      <c r="L1191" s="363"/>
      <c r="M1191" s="366"/>
      <c r="N1191" s="366"/>
      <c r="O1191" s="365"/>
      <c r="P1191" s="365"/>
      <c r="Q1191" s="192"/>
      <c r="S1191" s="209"/>
      <c r="T1191" s="209"/>
      <c r="U1191" s="192"/>
      <c r="Z1191" s="60"/>
      <c r="AA1191" s="60"/>
      <c r="AB1191" s="60"/>
      <c r="AC1191" s="60"/>
      <c r="AD1191" s="60"/>
      <c r="AE1191" s="60"/>
      <c r="AF1191" s="60"/>
      <c r="AG1191" s="60"/>
      <c r="AH1191" s="60"/>
      <c r="AI1191" s="60"/>
      <c r="AJ1191" s="60"/>
    </row>
    <row r="1192" spans="2:36" s="59" customFormat="1">
      <c r="B1192" s="203"/>
      <c r="D1192" s="186"/>
      <c r="F1192" s="209"/>
      <c r="G1192" s="209"/>
      <c r="H1192" s="209"/>
      <c r="I1192" s="209"/>
      <c r="J1192" s="209"/>
      <c r="K1192" s="191"/>
      <c r="L1192" s="363"/>
      <c r="M1192" s="366"/>
      <c r="N1192" s="366"/>
      <c r="O1192" s="365"/>
      <c r="P1192" s="365"/>
      <c r="Q1192" s="192"/>
      <c r="S1192" s="209"/>
      <c r="T1192" s="209"/>
      <c r="U1192" s="192"/>
      <c r="Z1192" s="60"/>
      <c r="AA1192" s="60"/>
      <c r="AB1192" s="60"/>
      <c r="AC1192" s="60"/>
      <c r="AD1192" s="60"/>
      <c r="AE1192" s="60"/>
      <c r="AF1192" s="60"/>
      <c r="AG1192" s="60"/>
      <c r="AH1192" s="60"/>
      <c r="AI1192" s="60"/>
      <c r="AJ1192" s="60"/>
    </row>
    <row r="1193" spans="2:36" s="59" customFormat="1">
      <c r="B1193" s="203"/>
      <c r="D1193" s="186"/>
      <c r="F1193" s="209"/>
      <c r="G1193" s="209"/>
      <c r="H1193" s="209"/>
      <c r="I1193" s="209"/>
      <c r="J1193" s="209"/>
      <c r="K1193" s="191"/>
      <c r="L1193" s="363"/>
      <c r="M1193" s="366"/>
      <c r="N1193" s="366"/>
      <c r="O1193" s="365"/>
      <c r="P1193" s="365"/>
      <c r="Q1193" s="192"/>
      <c r="S1193" s="209"/>
      <c r="T1193" s="209"/>
      <c r="U1193" s="192"/>
      <c r="Z1193" s="60"/>
      <c r="AA1193" s="60"/>
      <c r="AB1193" s="60"/>
      <c r="AC1193" s="60"/>
      <c r="AD1193" s="60"/>
      <c r="AE1193" s="60"/>
      <c r="AF1193" s="60"/>
      <c r="AG1193" s="60"/>
      <c r="AH1193" s="60"/>
      <c r="AI1193" s="60"/>
      <c r="AJ1193" s="60"/>
    </row>
    <row r="1194" spans="2:36" s="59" customFormat="1">
      <c r="B1194" s="203"/>
      <c r="D1194" s="186"/>
      <c r="F1194" s="209"/>
      <c r="G1194" s="209"/>
      <c r="H1194" s="209"/>
      <c r="I1194" s="209"/>
      <c r="J1194" s="209"/>
      <c r="K1194" s="191"/>
      <c r="L1194" s="363"/>
      <c r="M1194" s="366"/>
      <c r="N1194" s="366"/>
      <c r="O1194" s="365"/>
      <c r="P1194" s="365"/>
      <c r="Q1194" s="192"/>
      <c r="S1194" s="209"/>
      <c r="T1194" s="209"/>
      <c r="U1194" s="192"/>
      <c r="Z1194" s="60"/>
      <c r="AA1194" s="60"/>
      <c r="AB1194" s="60"/>
      <c r="AC1194" s="60"/>
      <c r="AD1194" s="60"/>
      <c r="AE1194" s="60"/>
      <c r="AF1194" s="60"/>
      <c r="AG1194" s="60"/>
      <c r="AH1194" s="60"/>
      <c r="AI1194" s="60"/>
      <c r="AJ1194" s="60"/>
    </row>
    <row r="1195" spans="2:36" s="59" customFormat="1">
      <c r="B1195" s="203"/>
      <c r="D1195" s="186"/>
      <c r="F1195" s="209"/>
      <c r="G1195" s="209"/>
      <c r="H1195" s="209"/>
      <c r="I1195" s="209"/>
      <c r="J1195" s="209"/>
      <c r="K1195" s="191"/>
      <c r="L1195" s="363"/>
      <c r="M1195" s="366"/>
      <c r="N1195" s="366"/>
      <c r="O1195" s="365"/>
      <c r="P1195" s="365"/>
      <c r="Q1195" s="192"/>
      <c r="S1195" s="209"/>
      <c r="T1195" s="209"/>
      <c r="U1195" s="192"/>
      <c r="Z1195" s="60"/>
      <c r="AA1195" s="60"/>
      <c r="AB1195" s="60"/>
      <c r="AC1195" s="60"/>
      <c r="AD1195" s="60"/>
      <c r="AE1195" s="60"/>
      <c r="AF1195" s="60"/>
      <c r="AG1195" s="60"/>
      <c r="AH1195" s="60"/>
      <c r="AI1195" s="60"/>
      <c r="AJ1195" s="60"/>
    </row>
    <row r="1196" spans="2:36" s="59" customFormat="1">
      <c r="B1196" s="203"/>
      <c r="D1196" s="186"/>
      <c r="F1196" s="209"/>
      <c r="G1196" s="209"/>
      <c r="H1196" s="209"/>
      <c r="I1196" s="209"/>
      <c r="J1196" s="209"/>
      <c r="K1196" s="191"/>
      <c r="L1196" s="363"/>
      <c r="M1196" s="366"/>
      <c r="N1196" s="366"/>
      <c r="O1196" s="365"/>
      <c r="P1196" s="365"/>
      <c r="Q1196" s="192"/>
      <c r="S1196" s="209"/>
      <c r="T1196" s="209"/>
      <c r="U1196" s="192"/>
      <c r="Z1196" s="60"/>
      <c r="AA1196" s="60"/>
      <c r="AB1196" s="60"/>
      <c r="AC1196" s="60"/>
      <c r="AD1196" s="60"/>
      <c r="AE1196" s="60"/>
      <c r="AF1196" s="60"/>
      <c r="AG1196" s="60"/>
      <c r="AH1196" s="60"/>
      <c r="AI1196" s="60"/>
      <c r="AJ1196" s="60"/>
    </row>
    <row r="1197" spans="2:36" s="59" customFormat="1">
      <c r="B1197" s="203"/>
      <c r="D1197" s="186"/>
      <c r="F1197" s="209"/>
      <c r="G1197" s="209"/>
      <c r="H1197" s="209"/>
      <c r="I1197" s="209"/>
      <c r="J1197" s="209"/>
      <c r="K1197" s="191"/>
      <c r="L1197" s="363"/>
      <c r="M1197" s="366"/>
      <c r="N1197" s="366"/>
      <c r="O1197" s="365"/>
      <c r="P1197" s="365"/>
      <c r="Q1197" s="192"/>
      <c r="S1197" s="209"/>
      <c r="T1197" s="209"/>
      <c r="U1197" s="192"/>
      <c r="Z1197" s="60"/>
      <c r="AA1197" s="60"/>
      <c r="AB1197" s="60"/>
      <c r="AC1197" s="60"/>
      <c r="AD1197" s="60"/>
      <c r="AE1197" s="60"/>
      <c r="AF1197" s="60"/>
      <c r="AG1197" s="60"/>
      <c r="AH1197" s="60"/>
      <c r="AI1197" s="60"/>
      <c r="AJ1197" s="60"/>
    </row>
    <row r="1198" spans="2:36" s="59" customFormat="1">
      <c r="B1198" s="203"/>
      <c r="D1198" s="186"/>
      <c r="F1198" s="209"/>
      <c r="G1198" s="209"/>
      <c r="H1198" s="209"/>
      <c r="I1198" s="209"/>
      <c r="J1198" s="209"/>
      <c r="K1198" s="191"/>
      <c r="L1198" s="363"/>
      <c r="M1198" s="366"/>
      <c r="N1198" s="366"/>
      <c r="O1198" s="365"/>
      <c r="P1198" s="365"/>
      <c r="Q1198" s="192"/>
      <c r="S1198" s="209"/>
      <c r="T1198" s="209"/>
      <c r="U1198" s="192"/>
      <c r="Z1198" s="60"/>
      <c r="AA1198" s="60"/>
      <c r="AB1198" s="60"/>
      <c r="AC1198" s="60"/>
      <c r="AD1198" s="60"/>
      <c r="AE1198" s="60"/>
      <c r="AF1198" s="60"/>
      <c r="AG1198" s="60"/>
      <c r="AH1198" s="60"/>
      <c r="AI1198" s="60"/>
      <c r="AJ1198" s="60"/>
    </row>
    <row r="1199" spans="2:36" s="59" customFormat="1">
      <c r="B1199" s="203"/>
      <c r="D1199" s="186"/>
      <c r="F1199" s="209"/>
      <c r="G1199" s="209"/>
      <c r="H1199" s="209"/>
      <c r="I1199" s="209"/>
      <c r="J1199" s="209"/>
      <c r="K1199" s="191"/>
      <c r="L1199" s="363"/>
      <c r="M1199" s="366"/>
      <c r="N1199" s="366"/>
      <c r="O1199" s="365"/>
      <c r="P1199" s="365"/>
      <c r="Q1199" s="192"/>
      <c r="S1199" s="209"/>
      <c r="T1199" s="209"/>
      <c r="U1199" s="192"/>
      <c r="Z1199" s="60"/>
      <c r="AA1199" s="60"/>
      <c r="AB1199" s="60"/>
      <c r="AC1199" s="60"/>
      <c r="AD1199" s="60"/>
      <c r="AE1199" s="60"/>
      <c r="AF1199" s="60"/>
      <c r="AG1199" s="60"/>
      <c r="AH1199" s="60"/>
      <c r="AI1199" s="60"/>
      <c r="AJ1199" s="60"/>
    </row>
    <row r="1200" spans="2:36" s="59" customFormat="1">
      <c r="B1200" s="203"/>
      <c r="D1200" s="186"/>
      <c r="F1200" s="209"/>
      <c r="G1200" s="209"/>
      <c r="H1200" s="209"/>
      <c r="I1200" s="209"/>
      <c r="J1200" s="209"/>
      <c r="K1200" s="191"/>
      <c r="L1200" s="363"/>
      <c r="M1200" s="366"/>
      <c r="N1200" s="366"/>
      <c r="O1200" s="365"/>
      <c r="P1200" s="365"/>
      <c r="Q1200" s="192"/>
      <c r="S1200" s="209"/>
      <c r="T1200" s="209"/>
      <c r="U1200" s="192"/>
      <c r="Z1200" s="60"/>
      <c r="AA1200" s="60"/>
      <c r="AB1200" s="60"/>
      <c r="AC1200" s="60"/>
      <c r="AD1200" s="60"/>
      <c r="AE1200" s="60"/>
      <c r="AF1200" s="60"/>
      <c r="AG1200" s="60"/>
      <c r="AH1200" s="60"/>
      <c r="AI1200" s="60"/>
      <c r="AJ1200" s="60"/>
    </row>
    <row r="1201" spans="2:36" s="59" customFormat="1">
      <c r="B1201" s="203"/>
      <c r="D1201" s="186"/>
      <c r="F1201" s="209"/>
      <c r="G1201" s="209"/>
      <c r="H1201" s="209"/>
      <c r="I1201" s="209"/>
      <c r="J1201" s="209"/>
      <c r="K1201" s="191"/>
      <c r="L1201" s="363"/>
      <c r="M1201" s="366"/>
      <c r="N1201" s="366"/>
      <c r="O1201" s="365"/>
      <c r="P1201" s="365"/>
      <c r="Q1201" s="192"/>
      <c r="S1201" s="209"/>
      <c r="T1201" s="209"/>
      <c r="U1201" s="192"/>
      <c r="Z1201" s="60"/>
      <c r="AA1201" s="60"/>
      <c r="AB1201" s="60"/>
      <c r="AC1201" s="60"/>
      <c r="AD1201" s="60"/>
      <c r="AE1201" s="60"/>
      <c r="AF1201" s="60"/>
      <c r="AG1201" s="60"/>
      <c r="AH1201" s="60"/>
      <c r="AI1201" s="60"/>
      <c r="AJ1201" s="60"/>
    </row>
    <row r="1202" spans="2:36" s="59" customFormat="1">
      <c r="B1202" s="203"/>
      <c r="D1202" s="186"/>
      <c r="F1202" s="209"/>
      <c r="G1202" s="209"/>
      <c r="H1202" s="209"/>
      <c r="I1202" s="209"/>
      <c r="J1202" s="209"/>
      <c r="K1202" s="191"/>
      <c r="L1202" s="363"/>
      <c r="M1202" s="366"/>
      <c r="N1202" s="366"/>
      <c r="O1202" s="365"/>
      <c r="P1202" s="365"/>
      <c r="Q1202" s="192"/>
      <c r="S1202" s="209"/>
      <c r="T1202" s="209"/>
      <c r="U1202" s="192"/>
      <c r="Z1202" s="60"/>
      <c r="AA1202" s="60"/>
      <c r="AB1202" s="60"/>
      <c r="AC1202" s="60"/>
      <c r="AD1202" s="60"/>
      <c r="AE1202" s="60"/>
      <c r="AF1202" s="60"/>
      <c r="AG1202" s="60"/>
      <c r="AH1202" s="60"/>
      <c r="AI1202" s="60"/>
      <c r="AJ1202" s="60"/>
    </row>
    <row r="1203" spans="2:36" s="59" customFormat="1">
      <c r="B1203" s="203"/>
      <c r="D1203" s="186"/>
      <c r="F1203" s="209"/>
      <c r="G1203" s="209"/>
      <c r="H1203" s="209"/>
      <c r="I1203" s="209"/>
      <c r="J1203" s="209"/>
      <c r="K1203" s="191"/>
      <c r="L1203" s="363"/>
      <c r="M1203" s="366"/>
      <c r="N1203" s="366"/>
      <c r="O1203" s="365"/>
      <c r="P1203" s="365"/>
      <c r="Q1203" s="192"/>
      <c r="S1203" s="209"/>
      <c r="T1203" s="209"/>
      <c r="U1203" s="192"/>
      <c r="Z1203" s="60"/>
      <c r="AA1203" s="60"/>
      <c r="AB1203" s="60"/>
      <c r="AC1203" s="60"/>
      <c r="AD1203" s="60"/>
      <c r="AE1203" s="60"/>
      <c r="AF1203" s="60"/>
      <c r="AG1203" s="60"/>
      <c r="AH1203" s="60"/>
      <c r="AI1203" s="60"/>
      <c r="AJ1203" s="60"/>
    </row>
    <row r="1204" spans="2:36" s="59" customFormat="1">
      <c r="B1204" s="203"/>
      <c r="D1204" s="186"/>
      <c r="F1204" s="209"/>
      <c r="G1204" s="209"/>
      <c r="H1204" s="209"/>
      <c r="I1204" s="209"/>
      <c r="J1204" s="209"/>
      <c r="K1204" s="191"/>
      <c r="L1204" s="363"/>
      <c r="M1204" s="366"/>
      <c r="N1204" s="366"/>
      <c r="O1204" s="365"/>
      <c r="P1204" s="365"/>
      <c r="Q1204" s="192"/>
      <c r="S1204" s="209"/>
      <c r="T1204" s="209"/>
      <c r="U1204" s="192"/>
      <c r="Z1204" s="60"/>
      <c r="AA1204" s="60"/>
      <c r="AB1204" s="60"/>
      <c r="AC1204" s="60"/>
      <c r="AD1204" s="60"/>
      <c r="AE1204" s="60"/>
      <c r="AF1204" s="60"/>
      <c r="AG1204" s="60"/>
      <c r="AH1204" s="60"/>
      <c r="AI1204" s="60"/>
      <c r="AJ1204" s="60"/>
    </row>
    <row r="1205" spans="2:36" s="59" customFormat="1">
      <c r="B1205" s="203"/>
      <c r="D1205" s="186"/>
      <c r="F1205" s="209"/>
      <c r="G1205" s="209"/>
      <c r="H1205" s="209"/>
      <c r="I1205" s="209"/>
      <c r="J1205" s="209"/>
      <c r="K1205" s="191"/>
      <c r="L1205" s="363"/>
      <c r="M1205" s="366"/>
      <c r="N1205" s="366"/>
      <c r="O1205" s="365"/>
      <c r="P1205" s="365"/>
      <c r="Q1205" s="192"/>
      <c r="S1205" s="209"/>
      <c r="T1205" s="209"/>
      <c r="U1205" s="192"/>
      <c r="Z1205" s="60"/>
      <c r="AA1205" s="60"/>
      <c r="AB1205" s="60"/>
      <c r="AC1205" s="60"/>
      <c r="AD1205" s="60"/>
      <c r="AE1205" s="60"/>
      <c r="AF1205" s="60"/>
      <c r="AG1205" s="60"/>
      <c r="AH1205" s="60"/>
      <c r="AI1205" s="60"/>
      <c r="AJ1205" s="60"/>
    </row>
    <row r="1206" spans="2:36" s="59" customFormat="1">
      <c r="B1206" s="203"/>
      <c r="D1206" s="186"/>
      <c r="F1206" s="209"/>
      <c r="G1206" s="209"/>
      <c r="H1206" s="209"/>
      <c r="I1206" s="209"/>
      <c r="J1206" s="209"/>
      <c r="K1206" s="191"/>
      <c r="L1206" s="363"/>
      <c r="M1206" s="366"/>
      <c r="N1206" s="366"/>
      <c r="O1206" s="365"/>
      <c r="P1206" s="365"/>
      <c r="Q1206" s="192"/>
      <c r="S1206" s="209"/>
      <c r="T1206" s="209"/>
      <c r="U1206" s="192"/>
      <c r="Z1206" s="60"/>
      <c r="AA1206" s="60"/>
      <c r="AB1206" s="60"/>
      <c r="AC1206" s="60"/>
      <c r="AD1206" s="60"/>
      <c r="AE1206" s="60"/>
      <c r="AF1206" s="60"/>
      <c r="AG1206" s="60"/>
      <c r="AH1206" s="60"/>
      <c r="AI1206" s="60"/>
      <c r="AJ1206" s="60"/>
    </row>
    <row r="1207" spans="2:36" s="59" customFormat="1">
      <c r="B1207" s="203"/>
      <c r="D1207" s="186"/>
      <c r="F1207" s="209"/>
      <c r="G1207" s="209"/>
      <c r="H1207" s="209"/>
      <c r="I1207" s="209"/>
      <c r="J1207" s="209"/>
      <c r="K1207" s="191"/>
      <c r="L1207" s="363"/>
      <c r="M1207" s="366"/>
      <c r="N1207" s="366"/>
      <c r="O1207" s="365"/>
      <c r="P1207" s="365"/>
      <c r="Q1207" s="192"/>
      <c r="S1207" s="209"/>
      <c r="T1207" s="209"/>
      <c r="U1207" s="192"/>
      <c r="Z1207" s="60"/>
      <c r="AA1207" s="60"/>
      <c r="AB1207" s="60"/>
      <c r="AC1207" s="60"/>
      <c r="AD1207" s="60"/>
      <c r="AE1207" s="60"/>
      <c r="AF1207" s="60"/>
      <c r="AG1207" s="60"/>
      <c r="AH1207" s="60"/>
      <c r="AI1207" s="60"/>
      <c r="AJ1207" s="60"/>
    </row>
    <row r="1208" spans="2:36" s="59" customFormat="1">
      <c r="B1208" s="203"/>
      <c r="D1208" s="186"/>
      <c r="F1208" s="209"/>
      <c r="G1208" s="209"/>
      <c r="H1208" s="209"/>
      <c r="I1208" s="209"/>
      <c r="J1208" s="209"/>
      <c r="K1208" s="191"/>
      <c r="L1208" s="363"/>
      <c r="M1208" s="366"/>
      <c r="N1208" s="366"/>
      <c r="O1208" s="365"/>
      <c r="P1208" s="365"/>
      <c r="Q1208" s="192"/>
      <c r="S1208" s="209"/>
      <c r="T1208" s="209"/>
      <c r="U1208" s="192"/>
      <c r="Z1208" s="60"/>
      <c r="AA1208" s="60"/>
      <c r="AB1208" s="60"/>
      <c r="AC1208" s="60"/>
      <c r="AD1208" s="60"/>
      <c r="AE1208" s="60"/>
      <c r="AF1208" s="60"/>
      <c r="AG1208" s="60"/>
      <c r="AH1208" s="60"/>
      <c r="AI1208" s="60"/>
      <c r="AJ1208" s="60"/>
    </row>
    <row r="1209" spans="2:36" s="59" customFormat="1">
      <c r="B1209" s="203"/>
      <c r="D1209" s="186"/>
      <c r="F1209" s="209"/>
      <c r="G1209" s="209"/>
      <c r="H1209" s="209"/>
      <c r="I1209" s="209"/>
      <c r="J1209" s="209"/>
      <c r="K1209" s="191"/>
      <c r="L1209" s="363"/>
      <c r="M1209" s="366"/>
      <c r="N1209" s="366"/>
      <c r="O1209" s="365"/>
      <c r="P1209" s="365"/>
      <c r="Q1209" s="192"/>
      <c r="S1209" s="209"/>
      <c r="T1209" s="209"/>
      <c r="U1209" s="192"/>
      <c r="Z1209" s="60"/>
      <c r="AA1209" s="60"/>
      <c r="AB1209" s="60"/>
      <c r="AC1209" s="60"/>
      <c r="AD1209" s="60"/>
      <c r="AE1209" s="60"/>
      <c r="AF1209" s="60"/>
      <c r="AG1209" s="60"/>
      <c r="AH1209" s="60"/>
      <c r="AI1209" s="60"/>
      <c r="AJ1209" s="60"/>
    </row>
    <row r="1210" spans="2:36" s="59" customFormat="1">
      <c r="B1210" s="203"/>
      <c r="D1210" s="186"/>
      <c r="F1210" s="209"/>
      <c r="G1210" s="209"/>
      <c r="H1210" s="209"/>
      <c r="I1210" s="209"/>
      <c r="J1210" s="209"/>
      <c r="K1210" s="191"/>
      <c r="L1210" s="363"/>
      <c r="M1210" s="366"/>
      <c r="N1210" s="366"/>
      <c r="O1210" s="365"/>
      <c r="P1210" s="365"/>
      <c r="Q1210" s="192"/>
      <c r="S1210" s="209"/>
      <c r="T1210" s="209"/>
      <c r="U1210" s="192"/>
      <c r="Z1210" s="60"/>
      <c r="AA1210" s="60"/>
      <c r="AB1210" s="60"/>
      <c r="AC1210" s="60"/>
      <c r="AD1210" s="60"/>
      <c r="AE1210" s="60"/>
      <c r="AF1210" s="60"/>
      <c r="AG1210" s="60"/>
      <c r="AH1210" s="60"/>
      <c r="AI1210" s="60"/>
      <c r="AJ1210" s="60"/>
    </row>
    <row r="1211" spans="2:36" s="59" customFormat="1">
      <c r="B1211" s="203"/>
      <c r="D1211" s="186"/>
      <c r="F1211" s="209"/>
      <c r="G1211" s="209"/>
      <c r="H1211" s="209"/>
      <c r="I1211" s="209"/>
      <c r="J1211" s="209"/>
      <c r="K1211" s="191"/>
      <c r="L1211" s="363"/>
      <c r="M1211" s="366"/>
      <c r="N1211" s="366"/>
      <c r="O1211" s="365"/>
      <c r="P1211" s="365"/>
      <c r="Q1211" s="192"/>
      <c r="S1211" s="209"/>
      <c r="T1211" s="209"/>
      <c r="U1211" s="192"/>
      <c r="Z1211" s="60"/>
      <c r="AA1211" s="60"/>
      <c r="AB1211" s="60"/>
      <c r="AC1211" s="60"/>
      <c r="AD1211" s="60"/>
      <c r="AE1211" s="60"/>
      <c r="AF1211" s="60"/>
      <c r="AG1211" s="60"/>
      <c r="AH1211" s="60"/>
      <c r="AI1211" s="60"/>
      <c r="AJ1211" s="60"/>
    </row>
    <row r="1212" spans="2:36" s="59" customFormat="1">
      <c r="B1212" s="203"/>
      <c r="D1212" s="186"/>
      <c r="F1212" s="209"/>
      <c r="G1212" s="209"/>
      <c r="H1212" s="209"/>
      <c r="I1212" s="209"/>
      <c r="J1212" s="209"/>
      <c r="K1212" s="191"/>
      <c r="L1212" s="363"/>
      <c r="M1212" s="366"/>
      <c r="N1212" s="366"/>
      <c r="O1212" s="365"/>
      <c r="P1212" s="365"/>
      <c r="Q1212" s="192"/>
      <c r="S1212" s="209"/>
      <c r="T1212" s="209"/>
      <c r="U1212" s="192"/>
      <c r="Z1212" s="60"/>
      <c r="AA1212" s="60"/>
      <c r="AB1212" s="60"/>
      <c r="AC1212" s="60"/>
      <c r="AD1212" s="60"/>
      <c r="AE1212" s="60"/>
      <c r="AF1212" s="60"/>
      <c r="AG1212" s="60"/>
      <c r="AH1212" s="60"/>
      <c r="AI1212" s="60"/>
      <c r="AJ1212" s="60"/>
    </row>
    <row r="1213" spans="2:36" s="59" customFormat="1">
      <c r="B1213" s="203"/>
      <c r="D1213" s="186"/>
      <c r="F1213" s="209"/>
      <c r="G1213" s="209"/>
      <c r="H1213" s="209"/>
      <c r="I1213" s="209"/>
      <c r="J1213" s="209"/>
      <c r="K1213" s="191"/>
      <c r="L1213" s="363"/>
      <c r="M1213" s="366"/>
      <c r="N1213" s="366"/>
      <c r="O1213" s="365"/>
      <c r="P1213" s="365"/>
      <c r="Q1213" s="192"/>
      <c r="S1213" s="209"/>
      <c r="T1213" s="209"/>
      <c r="U1213" s="192"/>
      <c r="Z1213" s="60"/>
      <c r="AA1213" s="60"/>
      <c r="AB1213" s="60"/>
      <c r="AC1213" s="60"/>
      <c r="AD1213" s="60"/>
      <c r="AE1213" s="60"/>
      <c r="AF1213" s="60"/>
      <c r="AG1213" s="60"/>
      <c r="AH1213" s="60"/>
      <c r="AI1213" s="60"/>
      <c r="AJ1213" s="60"/>
    </row>
    <row r="1214" spans="2:36" s="59" customFormat="1">
      <c r="B1214" s="203"/>
      <c r="D1214" s="186"/>
      <c r="F1214" s="209"/>
      <c r="G1214" s="209"/>
      <c r="H1214" s="209"/>
      <c r="I1214" s="209"/>
      <c r="J1214" s="209"/>
      <c r="K1214" s="191"/>
      <c r="L1214" s="363"/>
      <c r="M1214" s="366"/>
      <c r="N1214" s="366"/>
      <c r="O1214" s="365"/>
      <c r="P1214" s="365"/>
      <c r="Q1214" s="192"/>
      <c r="S1214" s="209"/>
      <c r="T1214" s="209"/>
      <c r="U1214" s="192"/>
      <c r="Z1214" s="60"/>
      <c r="AA1214" s="60"/>
      <c r="AB1214" s="60"/>
      <c r="AC1214" s="60"/>
      <c r="AD1214" s="60"/>
      <c r="AE1214" s="60"/>
      <c r="AF1214" s="60"/>
      <c r="AG1214" s="60"/>
      <c r="AH1214" s="60"/>
      <c r="AI1214" s="60"/>
      <c r="AJ1214" s="60"/>
    </row>
    <row r="1215" spans="2:36" s="59" customFormat="1">
      <c r="B1215" s="203"/>
      <c r="D1215" s="186"/>
      <c r="F1215" s="209"/>
      <c r="G1215" s="209"/>
      <c r="H1215" s="209"/>
      <c r="I1215" s="209"/>
      <c r="J1215" s="209"/>
      <c r="K1215" s="191"/>
      <c r="L1215" s="363"/>
      <c r="M1215" s="366"/>
      <c r="N1215" s="366"/>
      <c r="O1215" s="365"/>
      <c r="P1215" s="365"/>
      <c r="Q1215" s="192"/>
      <c r="S1215" s="209"/>
      <c r="T1215" s="209"/>
      <c r="U1215" s="192"/>
      <c r="Z1215" s="60"/>
      <c r="AA1215" s="60"/>
      <c r="AB1215" s="60"/>
      <c r="AC1215" s="60"/>
      <c r="AD1215" s="60"/>
      <c r="AE1215" s="60"/>
      <c r="AF1215" s="60"/>
      <c r="AG1215" s="60"/>
      <c r="AH1215" s="60"/>
      <c r="AI1215" s="60"/>
      <c r="AJ1215" s="60"/>
    </row>
    <row r="1216" spans="2:36" s="59" customFormat="1">
      <c r="B1216" s="203"/>
      <c r="D1216" s="186"/>
      <c r="F1216" s="209"/>
      <c r="G1216" s="209"/>
      <c r="H1216" s="209"/>
      <c r="I1216" s="209"/>
      <c r="J1216" s="209"/>
      <c r="K1216" s="191"/>
      <c r="L1216" s="363"/>
      <c r="M1216" s="366"/>
      <c r="N1216" s="366"/>
      <c r="O1216" s="365"/>
      <c r="P1216" s="365"/>
      <c r="Q1216" s="192"/>
      <c r="S1216" s="209"/>
      <c r="T1216" s="209"/>
      <c r="U1216" s="192"/>
      <c r="Z1216" s="60"/>
      <c r="AA1216" s="60"/>
      <c r="AB1216" s="60"/>
      <c r="AC1216" s="60"/>
      <c r="AD1216" s="60"/>
      <c r="AE1216" s="60"/>
      <c r="AF1216" s="60"/>
      <c r="AG1216" s="60"/>
      <c r="AH1216" s="60"/>
      <c r="AI1216" s="60"/>
      <c r="AJ1216" s="60"/>
    </row>
    <row r="1217" spans="2:36" s="59" customFormat="1">
      <c r="B1217" s="203"/>
      <c r="D1217" s="186"/>
      <c r="F1217" s="209"/>
      <c r="G1217" s="209"/>
      <c r="H1217" s="209"/>
      <c r="I1217" s="209"/>
      <c r="J1217" s="209"/>
      <c r="K1217" s="191"/>
      <c r="L1217" s="363"/>
      <c r="M1217" s="366"/>
      <c r="N1217" s="366"/>
      <c r="O1217" s="365"/>
      <c r="P1217" s="365"/>
      <c r="Q1217" s="192"/>
      <c r="S1217" s="209"/>
      <c r="T1217" s="209"/>
      <c r="U1217" s="192"/>
      <c r="Z1217" s="60"/>
      <c r="AA1217" s="60"/>
      <c r="AB1217" s="60"/>
      <c r="AC1217" s="60"/>
      <c r="AD1217" s="60"/>
      <c r="AE1217" s="60"/>
      <c r="AF1217" s="60"/>
      <c r="AG1217" s="60"/>
      <c r="AH1217" s="60"/>
      <c r="AI1217" s="60"/>
      <c r="AJ1217" s="60"/>
    </row>
    <row r="1218" spans="2:36" s="59" customFormat="1">
      <c r="B1218" s="203"/>
      <c r="D1218" s="186"/>
      <c r="F1218" s="209"/>
      <c r="G1218" s="209"/>
      <c r="H1218" s="209"/>
      <c r="I1218" s="209"/>
      <c r="J1218" s="209"/>
      <c r="K1218" s="191"/>
      <c r="L1218" s="363"/>
      <c r="M1218" s="366"/>
      <c r="N1218" s="366"/>
      <c r="O1218" s="365"/>
      <c r="P1218" s="365"/>
      <c r="Q1218" s="192"/>
      <c r="S1218" s="209"/>
      <c r="T1218" s="209"/>
      <c r="U1218" s="192"/>
      <c r="Z1218" s="60"/>
      <c r="AA1218" s="60"/>
      <c r="AB1218" s="60"/>
      <c r="AC1218" s="60"/>
      <c r="AD1218" s="60"/>
      <c r="AE1218" s="60"/>
      <c r="AF1218" s="60"/>
      <c r="AG1218" s="60"/>
      <c r="AH1218" s="60"/>
      <c r="AI1218" s="60"/>
      <c r="AJ1218" s="60"/>
    </row>
    <row r="1219" spans="2:36" s="59" customFormat="1">
      <c r="B1219" s="203"/>
      <c r="D1219" s="186"/>
      <c r="F1219" s="209"/>
      <c r="G1219" s="209"/>
      <c r="H1219" s="209"/>
      <c r="I1219" s="209"/>
      <c r="J1219" s="209"/>
      <c r="K1219" s="191"/>
      <c r="L1219" s="363"/>
      <c r="M1219" s="366"/>
      <c r="N1219" s="366"/>
      <c r="O1219" s="365"/>
      <c r="P1219" s="365"/>
      <c r="Q1219" s="192"/>
      <c r="S1219" s="209"/>
      <c r="T1219" s="209"/>
      <c r="U1219" s="192"/>
      <c r="Z1219" s="60"/>
      <c r="AA1219" s="60"/>
      <c r="AB1219" s="60"/>
      <c r="AC1219" s="60"/>
      <c r="AD1219" s="60"/>
      <c r="AE1219" s="60"/>
      <c r="AF1219" s="60"/>
      <c r="AG1219" s="60"/>
      <c r="AH1219" s="60"/>
      <c r="AI1219" s="60"/>
      <c r="AJ1219" s="60"/>
    </row>
    <row r="1220" spans="2:36" s="59" customFormat="1">
      <c r="B1220" s="203"/>
      <c r="D1220" s="186"/>
      <c r="F1220" s="209"/>
      <c r="G1220" s="209"/>
      <c r="H1220" s="209"/>
      <c r="I1220" s="209"/>
      <c r="J1220" s="209"/>
      <c r="K1220" s="191"/>
      <c r="L1220" s="363"/>
      <c r="M1220" s="366"/>
      <c r="N1220" s="366"/>
      <c r="O1220" s="365"/>
      <c r="P1220" s="365"/>
      <c r="Q1220" s="192"/>
      <c r="S1220" s="209"/>
      <c r="T1220" s="209"/>
      <c r="U1220" s="192"/>
      <c r="Z1220" s="60"/>
      <c r="AA1220" s="60"/>
      <c r="AB1220" s="60"/>
      <c r="AC1220" s="60"/>
      <c r="AD1220" s="60"/>
      <c r="AE1220" s="60"/>
      <c r="AF1220" s="60"/>
      <c r="AG1220" s="60"/>
      <c r="AH1220" s="60"/>
      <c r="AI1220" s="60"/>
      <c r="AJ1220" s="60"/>
    </row>
    <row r="1221" spans="2:36" s="59" customFormat="1">
      <c r="B1221" s="203"/>
      <c r="D1221" s="186"/>
      <c r="F1221" s="209"/>
      <c r="G1221" s="209"/>
      <c r="H1221" s="209"/>
      <c r="I1221" s="209"/>
      <c r="J1221" s="209"/>
      <c r="K1221" s="191"/>
      <c r="L1221" s="363"/>
      <c r="M1221" s="366"/>
      <c r="N1221" s="366"/>
      <c r="O1221" s="365"/>
      <c r="P1221" s="365"/>
      <c r="Q1221" s="192"/>
      <c r="S1221" s="209"/>
      <c r="T1221" s="209"/>
      <c r="U1221" s="192"/>
      <c r="Z1221" s="60"/>
      <c r="AA1221" s="60"/>
      <c r="AB1221" s="60"/>
      <c r="AC1221" s="60"/>
      <c r="AD1221" s="60"/>
      <c r="AE1221" s="60"/>
      <c r="AF1221" s="60"/>
      <c r="AG1221" s="60"/>
      <c r="AH1221" s="60"/>
      <c r="AI1221" s="60"/>
      <c r="AJ1221" s="60"/>
    </row>
    <row r="1222" spans="2:36" s="59" customFormat="1">
      <c r="B1222" s="203"/>
      <c r="D1222" s="186"/>
      <c r="F1222" s="209"/>
      <c r="G1222" s="209"/>
      <c r="H1222" s="209"/>
      <c r="I1222" s="209"/>
      <c r="J1222" s="209"/>
      <c r="K1222" s="191"/>
      <c r="L1222" s="363"/>
      <c r="M1222" s="366"/>
      <c r="N1222" s="366"/>
      <c r="O1222" s="365"/>
      <c r="P1222" s="365"/>
      <c r="Q1222" s="192"/>
      <c r="S1222" s="209"/>
      <c r="T1222" s="209"/>
      <c r="U1222" s="192"/>
      <c r="Z1222" s="60"/>
      <c r="AA1222" s="60"/>
      <c r="AB1222" s="60"/>
      <c r="AC1222" s="60"/>
      <c r="AD1222" s="60"/>
      <c r="AE1222" s="60"/>
      <c r="AF1222" s="60"/>
      <c r="AG1222" s="60"/>
      <c r="AH1222" s="60"/>
      <c r="AI1222" s="60"/>
      <c r="AJ1222" s="60"/>
    </row>
    <row r="1223" spans="2:36" s="59" customFormat="1">
      <c r="B1223" s="203"/>
      <c r="D1223" s="186"/>
      <c r="F1223" s="209"/>
      <c r="G1223" s="209"/>
      <c r="H1223" s="209"/>
      <c r="I1223" s="209"/>
      <c r="J1223" s="209"/>
      <c r="K1223" s="191"/>
      <c r="L1223" s="363"/>
      <c r="M1223" s="366"/>
      <c r="N1223" s="366"/>
      <c r="O1223" s="365"/>
      <c r="P1223" s="365"/>
      <c r="Q1223" s="192"/>
      <c r="S1223" s="209"/>
      <c r="T1223" s="209"/>
      <c r="U1223" s="192"/>
      <c r="Z1223" s="60"/>
      <c r="AA1223" s="60"/>
      <c r="AB1223" s="60"/>
      <c r="AC1223" s="60"/>
      <c r="AD1223" s="60"/>
      <c r="AE1223" s="60"/>
      <c r="AF1223" s="60"/>
      <c r="AG1223" s="60"/>
      <c r="AH1223" s="60"/>
      <c r="AI1223" s="60"/>
      <c r="AJ1223" s="60"/>
    </row>
    <row r="1224" spans="2:36" s="59" customFormat="1">
      <c r="B1224" s="203"/>
      <c r="D1224" s="186"/>
      <c r="F1224" s="209"/>
      <c r="G1224" s="209"/>
      <c r="H1224" s="209"/>
      <c r="I1224" s="209"/>
      <c r="J1224" s="209"/>
      <c r="K1224" s="191"/>
      <c r="L1224" s="363"/>
      <c r="M1224" s="366"/>
      <c r="N1224" s="366"/>
      <c r="O1224" s="365"/>
      <c r="P1224" s="365"/>
      <c r="Q1224" s="192"/>
      <c r="S1224" s="209"/>
      <c r="T1224" s="209"/>
      <c r="U1224" s="192"/>
      <c r="Z1224" s="60"/>
      <c r="AA1224" s="60"/>
      <c r="AB1224" s="60"/>
      <c r="AC1224" s="60"/>
      <c r="AD1224" s="60"/>
      <c r="AE1224" s="60"/>
      <c r="AF1224" s="60"/>
      <c r="AG1224" s="60"/>
      <c r="AH1224" s="60"/>
      <c r="AI1224" s="60"/>
      <c r="AJ1224" s="60"/>
    </row>
    <row r="1225" spans="2:36" s="59" customFormat="1">
      <c r="B1225" s="203"/>
      <c r="D1225" s="186"/>
      <c r="F1225" s="209"/>
      <c r="G1225" s="209"/>
      <c r="H1225" s="209"/>
      <c r="I1225" s="209"/>
      <c r="J1225" s="209"/>
      <c r="K1225" s="191"/>
      <c r="L1225" s="363"/>
      <c r="M1225" s="366"/>
      <c r="N1225" s="366"/>
      <c r="O1225" s="365"/>
      <c r="P1225" s="365"/>
      <c r="Q1225" s="192"/>
      <c r="S1225" s="209"/>
      <c r="T1225" s="209"/>
      <c r="U1225" s="192"/>
      <c r="Z1225" s="60"/>
      <c r="AA1225" s="60"/>
      <c r="AB1225" s="60"/>
      <c r="AC1225" s="60"/>
      <c r="AD1225" s="60"/>
      <c r="AE1225" s="60"/>
      <c r="AF1225" s="60"/>
      <c r="AG1225" s="60"/>
      <c r="AH1225" s="60"/>
      <c r="AI1225" s="60"/>
      <c r="AJ1225" s="60"/>
    </row>
    <row r="1226" spans="2:36" s="59" customFormat="1">
      <c r="B1226" s="203"/>
      <c r="D1226" s="186"/>
      <c r="F1226" s="209"/>
      <c r="G1226" s="209"/>
      <c r="H1226" s="209"/>
      <c r="I1226" s="209"/>
      <c r="J1226" s="209"/>
      <c r="K1226" s="191"/>
      <c r="L1226" s="363"/>
      <c r="M1226" s="366"/>
      <c r="N1226" s="366"/>
      <c r="O1226" s="365"/>
      <c r="P1226" s="365"/>
      <c r="Q1226" s="192"/>
      <c r="S1226" s="209"/>
      <c r="T1226" s="209"/>
      <c r="U1226" s="192"/>
      <c r="Z1226" s="60"/>
      <c r="AA1226" s="60"/>
      <c r="AB1226" s="60"/>
      <c r="AC1226" s="60"/>
      <c r="AD1226" s="60"/>
      <c r="AE1226" s="60"/>
      <c r="AF1226" s="60"/>
      <c r="AG1226" s="60"/>
      <c r="AH1226" s="60"/>
      <c r="AI1226" s="60"/>
      <c r="AJ1226" s="60"/>
    </row>
    <row r="1227" spans="2:36" s="59" customFormat="1">
      <c r="B1227" s="203"/>
      <c r="D1227" s="186"/>
      <c r="F1227" s="209"/>
      <c r="G1227" s="209"/>
      <c r="H1227" s="209"/>
      <c r="I1227" s="209"/>
      <c r="J1227" s="209"/>
      <c r="K1227" s="191"/>
      <c r="L1227" s="363"/>
      <c r="M1227" s="366"/>
      <c r="N1227" s="366"/>
      <c r="O1227" s="365"/>
      <c r="P1227" s="365"/>
      <c r="Q1227" s="192"/>
      <c r="S1227" s="209"/>
      <c r="T1227" s="209"/>
      <c r="U1227" s="192"/>
      <c r="Z1227" s="60"/>
      <c r="AA1227" s="60"/>
      <c r="AB1227" s="60"/>
      <c r="AC1227" s="60"/>
      <c r="AD1227" s="60"/>
      <c r="AE1227" s="60"/>
      <c r="AF1227" s="60"/>
      <c r="AG1227" s="60"/>
      <c r="AH1227" s="60"/>
      <c r="AI1227" s="60"/>
      <c r="AJ1227" s="60"/>
    </row>
    <row r="1228" spans="2:36" s="59" customFormat="1">
      <c r="B1228" s="203"/>
      <c r="D1228" s="186"/>
      <c r="F1228" s="209"/>
      <c r="G1228" s="209"/>
      <c r="H1228" s="209"/>
      <c r="I1228" s="209"/>
      <c r="J1228" s="209"/>
      <c r="K1228" s="191"/>
      <c r="L1228" s="363"/>
      <c r="M1228" s="366"/>
      <c r="N1228" s="366"/>
      <c r="O1228" s="365"/>
      <c r="P1228" s="365"/>
      <c r="Q1228" s="192"/>
      <c r="S1228" s="209"/>
      <c r="T1228" s="209"/>
      <c r="U1228" s="192"/>
      <c r="Z1228" s="60"/>
      <c r="AA1228" s="60"/>
      <c r="AB1228" s="60"/>
      <c r="AC1228" s="60"/>
      <c r="AD1228" s="60"/>
      <c r="AE1228" s="60"/>
      <c r="AF1228" s="60"/>
      <c r="AG1228" s="60"/>
      <c r="AH1228" s="60"/>
      <c r="AI1228" s="60"/>
      <c r="AJ1228" s="60"/>
    </row>
    <row r="1229" spans="2:36" s="59" customFormat="1">
      <c r="B1229" s="203"/>
      <c r="D1229" s="186"/>
      <c r="F1229" s="209"/>
      <c r="G1229" s="209"/>
      <c r="H1229" s="209"/>
      <c r="I1229" s="209"/>
      <c r="J1229" s="209"/>
      <c r="K1229" s="191"/>
      <c r="L1229" s="363"/>
      <c r="M1229" s="366"/>
      <c r="N1229" s="366"/>
      <c r="O1229" s="365"/>
      <c r="P1229" s="365"/>
      <c r="Q1229" s="192"/>
      <c r="S1229" s="209"/>
      <c r="T1229" s="209"/>
      <c r="U1229" s="192"/>
      <c r="Z1229" s="60"/>
      <c r="AA1229" s="60"/>
      <c r="AB1229" s="60"/>
      <c r="AC1229" s="60"/>
      <c r="AD1229" s="60"/>
      <c r="AE1229" s="60"/>
      <c r="AF1229" s="60"/>
      <c r="AG1229" s="60"/>
      <c r="AH1229" s="60"/>
      <c r="AI1229" s="60"/>
      <c r="AJ1229" s="60"/>
    </row>
    <row r="1230" spans="2:36" s="59" customFormat="1">
      <c r="B1230" s="203"/>
      <c r="D1230" s="186"/>
      <c r="F1230" s="209"/>
      <c r="G1230" s="209"/>
      <c r="H1230" s="209"/>
      <c r="I1230" s="209"/>
      <c r="J1230" s="209"/>
      <c r="K1230" s="191"/>
      <c r="L1230" s="363"/>
      <c r="M1230" s="366"/>
      <c r="N1230" s="366"/>
      <c r="O1230" s="365"/>
      <c r="P1230" s="365"/>
      <c r="Q1230" s="192"/>
      <c r="S1230" s="209"/>
      <c r="T1230" s="209"/>
      <c r="U1230" s="192"/>
      <c r="Z1230" s="60"/>
      <c r="AA1230" s="60"/>
      <c r="AB1230" s="60"/>
      <c r="AC1230" s="60"/>
      <c r="AD1230" s="60"/>
      <c r="AE1230" s="60"/>
      <c r="AF1230" s="60"/>
      <c r="AG1230" s="60"/>
      <c r="AH1230" s="60"/>
      <c r="AI1230" s="60"/>
      <c r="AJ1230" s="60"/>
    </row>
    <row r="1231" spans="2:36" s="59" customFormat="1">
      <c r="B1231" s="203"/>
      <c r="D1231" s="186"/>
      <c r="F1231" s="209"/>
      <c r="G1231" s="209"/>
      <c r="H1231" s="209"/>
      <c r="I1231" s="209"/>
      <c r="J1231" s="209"/>
      <c r="K1231" s="191"/>
      <c r="L1231" s="363"/>
      <c r="M1231" s="366"/>
      <c r="N1231" s="366"/>
      <c r="O1231" s="365"/>
      <c r="P1231" s="365"/>
      <c r="Q1231" s="192"/>
      <c r="S1231" s="209"/>
      <c r="T1231" s="209"/>
      <c r="U1231" s="192"/>
      <c r="Z1231" s="60"/>
      <c r="AA1231" s="60"/>
      <c r="AB1231" s="60"/>
      <c r="AC1231" s="60"/>
      <c r="AD1231" s="60"/>
      <c r="AE1231" s="60"/>
      <c r="AF1231" s="60"/>
      <c r="AG1231" s="60"/>
      <c r="AH1231" s="60"/>
      <c r="AI1231" s="60"/>
      <c r="AJ1231" s="60"/>
    </row>
    <row r="1232" spans="2:36" s="59" customFormat="1">
      <c r="B1232" s="203"/>
      <c r="D1232" s="186"/>
      <c r="F1232" s="209"/>
      <c r="G1232" s="209"/>
      <c r="H1232" s="209"/>
      <c r="I1232" s="209"/>
      <c r="J1232" s="209"/>
      <c r="K1232" s="191"/>
      <c r="L1232" s="363"/>
      <c r="M1232" s="366"/>
      <c r="N1232" s="366"/>
      <c r="O1232" s="365"/>
      <c r="P1232" s="365"/>
      <c r="Q1232" s="192"/>
      <c r="S1232" s="209"/>
      <c r="T1232" s="209"/>
      <c r="U1232" s="192"/>
      <c r="Z1232" s="60"/>
      <c r="AA1232" s="60"/>
      <c r="AB1232" s="60"/>
      <c r="AC1232" s="60"/>
      <c r="AD1232" s="60"/>
      <c r="AE1232" s="60"/>
      <c r="AF1232" s="60"/>
      <c r="AG1232" s="60"/>
      <c r="AH1232" s="60"/>
      <c r="AI1232" s="60"/>
      <c r="AJ1232" s="60"/>
    </row>
    <row r="1233" spans="2:36" s="59" customFormat="1">
      <c r="B1233" s="203"/>
      <c r="D1233" s="186"/>
      <c r="F1233" s="209"/>
      <c r="G1233" s="209"/>
      <c r="H1233" s="209"/>
      <c r="I1233" s="209"/>
      <c r="J1233" s="209"/>
      <c r="K1233" s="191"/>
      <c r="L1233" s="363"/>
      <c r="M1233" s="366"/>
      <c r="N1233" s="366"/>
      <c r="O1233" s="365"/>
      <c r="P1233" s="365"/>
      <c r="Q1233" s="192"/>
      <c r="S1233" s="209"/>
      <c r="T1233" s="209"/>
      <c r="U1233" s="192"/>
      <c r="Z1233" s="60"/>
      <c r="AA1233" s="60"/>
      <c r="AB1233" s="60"/>
      <c r="AC1233" s="60"/>
      <c r="AD1233" s="60"/>
      <c r="AE1233" s="60"/>
      <c r="AF1233" s="60"/>
      <c r="AG1233" s="60"/>
      <c r="AH1233" s="60"/>
      <c r="AI1233" s="60"/>
      <c r="AJ1233" s="60"/>
    </row>
    <row r="1234" spans="2:36" s="59" customFormat="1">
      <c r="B1234" s="203"/>
      <c r="D1234" s="186"/>
      <c r="F1234" s="209"/>
      <c r="G1234" s="209"/>
      <c r="H1234" s="209"/>
      <c r="I1234" s="209"/>
      <c r="J1234" s="209"/>
      <c r="K1234" s="191"/>
      <c r="L1234" s="363"/>
      <c r="M1234" s="366"/>
      <c r="N1234" s="366"/>
      <c r="O1234" s="365"/>
      <c r="P1234" s="365"/>
      <c r="Q1234" s="192"/>
      <c r="S1234" s="209"/>
      <c r="T1234" s="209"/>
      <c r="U1234" s="192"/>
      <c r="Z1234" s="60"/>
      <c r="AA1234" s="60"/>
      <c r="AB1234" s="60"/>
      <c r="AC1234" s="60"/>
      <c r="AD1234" s="60"/>
      <c r="AE1234" s="60"/>
      <c r="AF1234" s="60"/>
      <c r="AG1234" s="60"/>
      <c r="AH1234" s="60"/>
      <c r="AI1234" s="60"/>
      <c r="AJ1234" s="60"/>
    </row>
    <row r="1235" spans="2:36" s="59" customFormat="1">
      <c r="B1235" s="203"/>
      <c r="D1235" s="186"/>
      <c r="F1235" s="209"/>
      <c r="G1235" s="209"/>
      <c r="H1235" s="209"/>
      <c r="I1235" s="209"/>
      <c r="J1235" s="209"/>
      <c r="K1235" s="191"/>
      <c r="L1235" s="363"/>
      <c r="M1235" s="366"/>
      <c r="N1235" s="366"/>
      <c r="O1235" s="365"/>
      <c r="P1235" s="365"/>
      <c r="Q1235" s="192"/>
      <c r="S1235" s="209"/>
      <c r="T1235" s="209"/>
      <c r="U1235" s="192"/>
      <c r="Z1235" s="60"/>
      <c r="AA1235" s="60"/>
      <c r="AB1235" s="60"/>
      <c r="AC1235" s="60"/>
      <c r="AD1235" s="60"/>
      <c r="AE1235" s="60"/>
      <c r="AF1235" s="60"/>
      <c r="AG1235" s="60"/>
      <c r="AH1235" s="60"/>
      <c r="AI1235" s="60"/>
      <c r="AJ1235" s="60"/>
    </row>
    <row r="1236" spans="2:36" s="59" customFormat="1">
      <c r="B1236" s="203"/>
      <c r="D1236" s="186"/>
      <c r="F1236" s="209"/>
      <c r="G1236" s="209"/>
      <c r="H1236" s="209"/>
      <c r="I1236" s="209"/>
      <c r="J1236" s="209"/>
      <c r="K1236" s="191"/>
      <c r="L1236" s="363"/>
      <c r="M1236" s="366"/>
      <c r="N1236" s="366"/>
      <c r="O1236" s="365"/>
      <c r="P1236" s="365"/>
      <c r="Q1236" s="192"/>
      <c r="S1236" s="209"/>
      <c r="T1236" s="209"/>
      <c r="U1236" s="192"/>
      <c r="Z1236" s="60"/>
      <c r="AA1236" s="60"/>
      <c r="AB1236" s="60"/>
      <c r="AC1236" s="60"/>
      <c r="AD1236" s="60"/>
      <c r="AE1236" s="60"/>
      <c r="AF1236" s="60"/>
      <c r="AG1236" s="60"/>
      <c r="AH1236" s="60"/>
      <c r="AI1236" s="60"/>
      <c r="AJ1236" s="60"/>
    </row>
    <row r="1237" spans="2:36" s="59" customFormat="1">
      <c r="B1237" s="203"/>
      <c r="D1237" s="186"/>
      <c r="F1237" s="209"/>
      <c r="G1237" s="209"/>
      <c r="H1237" s="209"/>
      <c r="I1237" s="209"/>
      <c r="J1237" s="209"/>
      <c r="K1237" s="191"/>
      <c r="L1237" s="363"/>
      <c r="M1237" s="366"/>
      <c r="N1237" s="366"/>
      <c r="O1237" s="365"/>
      <c r="P1237" s="365"/>
      <c r="Q1237" s="192"/>
      <c r="S1237" s="209"/>
      <c r="T1237" s="209"/>
      <c r="U1237" s="192"/>
      <c r="Z1237" s="60"/>
      <c r="AA1237" s="60"/>
      <c r="AB1237" s="60"/>
      <c r="AC1237" s="60"/>
      <c r="AD1237" s="60"/>
      <c r="AE1237" s="60"/>
      <c r="AF1237" s="60"/>
      <c r="AG1237" s="60"/>
      <c r="AH1237" s="60"/>
      <c r="AI1237" s="60"/>
      <c r="AJ1237" s="60"/>
    </row>
    <row r="1238" spans="2:36" s="59" customFormat="1">
      <c r="B1238" s="203"/>
      <c r="D1238" s="186"/>
      <c r="F1238" s="209"/>
      <c r="G1238" s="209"/>
      <c r="H1238" s="209"/>
      <c r="I1238" s="209"/>
      <c r="J1238" s="209"/>
      <c r="K1238" s="191"/>
      <c r="L1238" s="363"/>
      <c r="M1238" s="366"/>
      <c r="N1238" s="366"/>
      <c r="O1238" s="365"/>
      <c r="P1238" s="365"/>
      <c r="Q1238" s="192"/>
      <c r="S1238" s="209"/>
      <c r="T1238" s="209"/>
      <c r="U1238" s="192"/>
      <c r="Z1238" s="60"/>
      <c r="AA1238" s="60"/>
      <c r="AB1238" s="60"/>
      <c r="AC1238" s="60"/>
      <c r="AD1238" s="60"/>
      <c r="AE1238" s="60"/>
      <c r="AF1238" s="60"/>
      <c r="AG1238" s="60"/>
      <c r="AH1238" s="60"/>
      <c r="AI1238" s="60"/>
      <c r="AJ1238" s="60"/>
    </row>
    <row r="1239" spans="2:36" s="59" customFormat="1">
      <c r="B1239" s="203"/>
      <c r="D1239" s="186"/>
      <c r="F1239" s="209"/>
      <c r="G1239" s="209"/>
      <c r="H1239" s="209"/>
      <c r="I1239" s="209"/>
      <c r="J1239" s="209"/>
      <c r="K1239" s="191"/>
      <c r="L1239" s="363"/>
      <c r="M1239" s="366"/>
      <c r="N1239" s="366"/>
      <c r="O1239" s="365"/>
      <c r="P1239" s="365"/>
      <c r="Q1239" s="192"/>
      <c r="S1239" s="209"/>
      <c r="T1239" s="209"/>
      <c r="U1239" s="192"/>
      <c r="Z1239" s="60"/>
      <c r="AA1239" s="60"/>
      <c r="AB1239" s="60"/>
      <c r="AC1239" s="60"/>
      <c r="AD1239" s="60"/>
      <c r="AE1239" s="60"/>
      <c r="AF1239" s="60"/>
      <c r="AG1239" s="60"/>
      <c r="AH1239" s="60"/>
      <c r="AI1239" s="60"/>
      <c r="AJ1239" s="60"/>
    </row>
    <row r="1240" spans="2:36" s="59" customFormat="1">
      <c r="B1240" s="203"/>
      <c r="D1240" s="186"/>
      <c r="F1240" s="209"/>
      <c r="G1240" s="209"/>
      <c r="H1240" s="209"/>
      <c r="I1240" s="209"/>
      <c r="J1240" s="209"/>
      <c r="K1240" s="191"/>
      <c r="L1240" s="363"/>
      <c r="M1240" s="366"/>
      <c r="N1240" s="366"/>
      <c r="O1240" s="365"/>
      <c r="P1240" s="365"/>
      <c r="Q1240" s="192"/>
      <c r="S1240" s="209"/>
      <c r="T1240" s="209"/>
      <c r="U1240" s="192"/>
      <c r="Z1240" s="60"/>
      <c r="AA1240" s="60"/>
      <c r="AB1240" s="60"/>
      <c r="AC1240" s="60"/>
      <c r="AD1240" s="60"/>
      <c r="AE1240" s="60"/>
      <c r="AF1240" s="60"/>
      <c r="AG1240" s="60"/>
      <c r="AH1240" s="60"/>
      <c r="AI1240" s="60"/>
      <c r="AJ1240" s="60"/>
    </row>
    <row r="1241" spans="2:36" s="59" customFormat="1">
      <c r="B1241" s="203"/>
      <c r="D1241" s="186"/>
      <c r="F1241" s="209"/>
      <c r="G1241" s="209"/>
      <c r="H1241" s="209"/>
      <c r="I1241" s="209"/>
      <c r="J1241" s="209"/>
      <c r="K1241" s="191"/>
      <c r="L1241" s="363"/>
      <c r="M1241" s="366"/>
      <c r="N1241" s="366"/>
      <c r="O1241" s="365"/>
      <c r="P1241" s="365"/>
      <c r="Q1241" s="192"/>
      <c r="S1241" s="209"/>
      <c r="T1241" s="209"/>
      <c r="U1241" s="192"/>
      <c r="Z1241" s="60"/>
      <c r="AA1241" s="60"/>
      <c r="AB1241" s="60"/>
      <c r="AC1241" s="60"/>
      <c r="AD1241" s="60"/>
      <c r="AE1241" s="60"/>
      <c r="AF1241" s="60"/>
      <c r="AG1241" s="60"/>
      <c r="AH1241" s="60"/>
      <c r="AI1241" s="60"/>
      <c r="AJ1241" s="60"/>
    </row>
    <row r="1242" spans="2:36" s="59" customFormat="1">
      <c r="B1242" s="203"/>
      <c r="D1242" s="186"/>
      <c r="F1242" s="209"/>
      <c r="G1242" s="209"/>
      <c r="H1242" s="209"/>
      <c r="I1242" s="209"/>
      <c r="J1242" s="209"/>
      <c r="K1242" s="191"/>
      <c r="L1242" s="363"/>
      <c r="M1242" s="366"/>
      <c r="N1242" s="366"/>
      <c r="O1242" s="365"/>
      <c r="P1242" s="365"/>
      <c r="Q1242" s="192"/>
      <c r="S1242" s="209"/>
      <c r="T1242" s="209"/>
      <c r="U1242" s="192"/>
      <c r="Z1242" s="60"/>
      <c r="AA1242" s="60"/>
      <c r="AB1242" s="60"/>
      <c r="AC1242" s="60"/>
      <c r="AD1242" s="60"/>
      <c r="AE1242" s="60"/>
      <c r="AF1242" s="60"/>
      <c r="AG1242" s="60"/>
      <c r="AH1242" s="60"/>
      <c r="AI1242" s="60"/>
      <c r="AJ1242" s="60"/>
    </row>
    <row r="1243" spans="2:36" s="59" customFormat="1">
      <c r="B1243" s="203"/>
      <c r="D1243" s="186"/>
      <c r="F1243" s="209"/>
      <c r="G1243" s="209"/>
      <c r="H1243" s="209"/>
      <c r="I1243" s="209"/>
      <c r="J1243" s="209"/>
      <c r="K1243" s="191"/>
      <c r="L1243" s="363"/>
      <c r="M1243" s="366"/>
      <c r="N1243" s="366"/>
      <c r="O1243" s="365"/>
      <c r="P1243" s="365"/>
      <c r="Q1243" s="192"/>
      <c r="S1243" s="209"/>
      <c r="T1243" s="209"/>
      <c r="U1243" s="192"/>
      <c r="Z1243" s="60"/>
      <c r="AA1243" s="60"/>
      <c r="AB1243" s="60"/>
      <c r="AC1243" s="60"/>
      <c r="AD1243" s="60"/>
      <c r="AE1243" s="60"/>
      <c r="AF1243" s="60"/>
      <c r="AG1243" s="60"/>
      <c r="AH1243" s="60"/>
      <c r="AI1243" s="60"/>
      <c r="AJ1243" s="60"/>
    </row>
    <row r="1244" spans="2:36" s="59" customFormat="1">
      <c r="B1244" s="203"/>
      <c r="D1244" s="186"/>
      <c r="F1244" s="209"/>
      <c r="G1244" s="209"/>
      <c r="H1244" s="209"/>
      <c r="I1244" s="209"/>
      <c r="J1244" s="209"/>
      <c r="K1244" s="191"/>
      <c r="L1244" s="363"/>
      <c r="M1244" s="366"/>
      <c r="N1244" s="366"/>
      <c r="O1244" s="365"/>
      <c r="P1244" s="365"/>
      <c r="Q1244" s="192"/>
      <c r="S1244" s="209"/>
      <c r="T1244" s="209"/>
      <c r="U1244" s="192"/>
      <c r="Z1244" s="60"/>
      <c r="AA1244" s="60"/>
      <c r="AB1244" s="60"/>
      <c r="AC1244" s="60"/>
      <c r="AD1244" s="60"/>
      <c r="AE1244" s="60"/>
      <c r="AF1244" s="60"/>
      <c r="AG1244" s="60"/>
      <c r="AH1244" s="60"/>
      <c r="AI1244" s="60"/>
      <c r="AJ1244" s="60"/>
    </row>
    <row r="1245" spans="2:36" s="59" customFormat="1">
      <c r="B1245" s="203"/>
      <c r="D1245" s="186"/>
      <c r="F1245" s="209"/>
      <c r="G1245" s="209"/>
      <c r="H1245" s="209"/>
      <c r="I1245" s="209"/>
      <c r="J1245" s="209"/>
      <c r="K1245" s="191"/>
      <c r="L1245" s="363"/>
      <c r="M1245" s="366"/>
      <c r="N1245" s="366"/>
      <c r="O1245" s="365"/>
      <c r="P1245" s="365"/>
      <c r="Q1245" s="192"/>
      <c r="S1245" s="209"/>
      <c r="T1245" s="209"/>
      <c r="U1245" s="192"/>
      <c r="Z1245" s="60"/>
      <c r="AA1245" s="60"/>
      <c r="AB1245" s="60"/>
      <c r="AC1245" s="60"/>
      <c r="AD1245" s="60"/>
      <c r="AE1245" s="60"/>
      <c r="AF1245" s="60"/>
      <c r="AG1245" s="60"/>
      <c r="AH1245" s="60"/>
      <c r="AI1245" s="60"/>
      <c r="AJ1245" s="60"/>
    </row>
    <row r="1246" spans="2:36" s="59" customFormat="1">
      <c r="B1246" s="203"/>
      <c r="D1246" s="186"/>
      <c r="F1246" s="209"/>
      <c r="G1246" s="209"/>
      <c r="H1246" s="209"/>
      <c r="I1246" s="209"/>
      <c r="J1246" s="209"/>
      <c r="K1246" s="191"/>
      <c r="L1246" s="363"/>
      <c r="M1246" s="366"/>
      <c r="N1246" s="366"/>
      <c r="O1246" s="365"/>
      <c r="P1246" s="365"/>
      <c r="Q1246" s="192"/>
      <c r="S1246" s="209"/>
      <c r="T1246" s="209"/>
      <c r="U1246" s="192"/>
      <c r="Z1246" s="60"/>
      <c r="AA1246" s="60"/>
      <c r="AB1246" s="60"/>
      <c r="AC1246" s="60"/>
      <c r="AD1246" s="60"/>
      <c r="AE1246" s="60"/>
      <c r="AF1246" s="60"/>
      <c r="AG1246" s="60"/>
      <c r="AH1246" s="60"/>
      <c r="AI1246" s="60"/>
      <c r="AJ1246" s="60"/>
    </row>
    <row r="1247" spans="2:36" s="59" customFormat="1">
      <c r="B1247" s="203"/>
      <c r="D1247" s="186"/>
      <c r="F1247" s="209"/>
      <c r="G1247" s="209"/>
      <c r="H1247" s="209"/>
      <c r="I1247" s="209"/>
      <c r="J1247" s="209"/>
      <c r="K1247" s="191"/>
      <c r="L1247" s="363"/>
      <c r="M1247" s="366"/>
      <c r="N1247" s="366"/>
      <c r="O1247" s="365"/>
      <c r="P1247" s="365"/>
      <c r="Q1247" s="192"/>
      <c r="S1247" s="209"/>
      <c r="T1247" s="209"/>
      <c r="U1247" s="192"/>
      <c r="Z1247" s="60"/>
      <c r="AA1247" s="60"/>
      <c r="AB1247" s="60"/>
      <c r="AC1247" s="60"/>
      <c r="AD1247" s="60"/>
      <c r="AE1247" s="60"/>
      <c r="AF1247" s="60"/>
      <c r="AG1247" s="60"/>
      <c r="AH1247" s="60"/>
      <c r="AI1247" s="60"/>
      <c r="AJ1247" s="60"/>
    </row>
    <row r="1248" spans="2:36" s="59" customFormat="1">
      <c r="B1248" s="203"/>
      <c r="D1248" s="186"/>
      <c r="F1248" s="209"/>
      <c r="G1248" s="209"/>
      <c r="H1248" s="209"/>
      <c r="I1248" s="209"/>
      <c r="J1248" s="209"/>
      <c r="K1248" s="191"/>
      <c r="L1248" s="363"/>
      <c r="M1248" s="366"/>
      <c r="N1248" s="366"/>
      <c r="O1248" s="365"/>
      <c r="P1248" s="365"/>
      <c r="Q1248" s="192"/>
      <c r="S1248" s="209"/>
      <c r="T1248" s="209"/>
      <c r="U1248" s="192"/>
      <c r="Z1248" s="60"/>
      <c r="AA1248" s="60"/>
      <c r="AB1248" s="60"/>
      <c r="AC1248" s="60"/>
      <c r="AD1248" s="60"/>
      <c r="AE1248" s="60"/>
      <c r="AF1248" s="60"/>
      <c r="AG1248" s="60"/>
      <c r="AH1248" s="60"/>
      <c r="AI1248" s="60"/>
      <c r="AJ1248" s="60"/>
    </row>
    <row r="1249" spans="2:36" s="59" customFormat="1">
      <c r="B1249" s="203"/>
      <c r="D1249" s="186"/>
      <c r="F1249" s="209"/>
      <c r="G1249" s="209"/>
      <c r="H1249" s="209"/>
      <c r="I1249" s="209"/>
      <c r="J1249" s="209"/>
      <c r="K1249" s="191"/>
      <c r="L1249" s="363"/>
      <c r="M1249" s="366"/>
      <c r="N1249" s="366"/>
      <c r="O1249" s="365"/>
      <c r="P1249" s="365"/>
      <c r="Q1249" s="192"/>
      <c r="S1249" s="209"/>
      <c r="T1249" s="209"/>
      <c r="U1249" s="192"/>
      <c r="Z1249" s="60"/>
      <c r="AA1249" s="60"/>
      <c r="AB1249" s="60"/>
      <c r="AC1249" s="60"/>
      <c r="AD1249" s="60"/>
      <c r="AE1249" s="60"/>
      <c r="AF1249" s="60"/>
      <c r="AG1249" s="60"/>
      <c r="AH1249" s="60"/>
      <c r="AI1249" s="60"/>
      <c r="AJ1249" s="60"/>
    </row>
    <row r="1250" spans="2:36" s="59" customFormat="1">
      <c r="B1250" s="203"/>
      <c r="D1250" s="186"/>
      <c r="F1250" s="209"/>
      <c r="G1250" s="209"/>
      <c r="H1250" s="209"/>
      <c r="I1250" s="209"/>
      <c r="J1250" s="209"/>
      <c r="K1250" s="191"/>
      <c r="L1250" s="363"/>
      <c r="M1250" s="366"/>
      <c r="N1250" s="366"/>
      <c r="O1250" s="365"/>
      <c r="P1250" s="365"/>
      <c r="Q1250" s="192"/>
      <c r="S1250" s="209"/>
      <c r="T1250" s="209"/>
      <c r="U1250" s="192"/>
      <c r="Z1250" s="60"/>
      <c r="AA1250" s="60"/>
      <c r="AB1250" s="60"/>
      <c r="AC1250" s="60"/>
      <c r="AD1250" s="60"/>
      <c r="AE1250" s="60"/>
      <c r="AF1250" s="60"/>
      <c r="AG1250" s="60"/>
      <c r="AH1250" s="60"/>
      <c r="AI1250" s="60"/>
      <c r="AJ1250" s="60"/>
    </row>
    <row r="1251" spans="2:36" s="59" customFormat="1">
      <c r="B1251" s="203"/>
      <c r="D1251" s="186"/>
      <c r="F1251" s="209"/>
      <c r="G1251" s="209"/>
      <c r="H1251" s="209"/>
      <c r="I1251" s="209"/>
      <c r="J1251" s="209"/>
      <c r="K1251" s="191"/>
      <c r="L1251" s="363"/>
      <c r="M1251" s="366"/>
      <c r="N1251" s="366"/>
      <c r="O1251" s="365"/>
      <c r="P1251" s="365"/>
      <c r="Q1251" s="192"/>
      <c r="S1251" s="209"/>
      <c r="T1251" s="209"/>
      <c r="U1251" s="192"/>
      <c r="Z1251" s="60"/>
      <c r="AA1251" s="60"/>
      <c r="AB1251" s="60"/>
      <c r="AC1251" s="60"/>
      <c r="AD1251" s="60"/>
      <c r="AE1251" s="60"/>
      <c r="AF1251" s="60"/>
      <c r="AG1251" s="60"/>
      <c r="AH1251" s="60"/>
      <c r="AI1251" s="60"/>
      <c r="AJ1251" s="60"/>
    </row>
    <row r="1252" spans="2:36" s="59" customFormat="1">
      <c r="B1252" s="203"/>
      <c r="D1252" s="186"/>
      <c r="F1252" s="209"/>
      <c r="G1252" s="209"/>
      <c r="H1252" s="209"/>
      <c r="I1252" s="209"/>
      <c r="J1252" s="209"/>
      <c r="K1252" s="191"/>
      <c r="L1252" s="363"/>
      <c r="M1252" s="366"/>
      <c r="N1252" s="366"/>
      <c r="O1252" s="365"/>
      <c r="P1252" s="365"/>
      <c r="Q1252" s="192"/>
      <c r="S1252" s="209"/>
      <c r="T1252" s="209"/>
      <c r="U1252" s="192"/>
      <c r="Z1252" s="60"/>
      <c r="AA1252" s="60"/>
      <c r="AB1252" s="60"/>
      <c r="AC1252" s="60"/>
      <c r="AD1252" s="60"/>
      <c r="AE1252" s="60"/>
      <c r="AF1252" s="60"/>
      <c r="AG1252" s="60"/>
      <c r="AH1252" s="60"/>
      <c r="AI1252" s="60"/>
      <c r="AJ1252" s="60"/>
    </row>
    <row r="1253" spans="2:36" s="59" customFormat="1">
      <c r="B1253" s="203"/>
      <c r="D1253" s="186"/>
      <c r="F1253" s="209"/>
      <c r="G1253" s="209"/>
      <c r="H1253" s="209"/>
      <c r="I1253" s="209"/>
      <c r="J1253" s="209"/>
      <c r="K1253" s="191"/>
      <c r="L1253" s="363"/>
      <c r="M1253" s="366"/>
      <c r="N1253" s="366"/>
      <c r="O1253" s="365"/>
      <c r="P1253" s="365"/>
      <c r="Q1253" s="192"/>
      <c r="S1253" s="209"/>
      <c r="T1253" s="209"/>
      <c r="U1253" s="192"/>
      <c r="Z1253" s="60"/>
      <c r="AA1253" s="60"/>
      <c r="AB1253" s="60"/>
      <c r="AC1253" s="60"/>
      <c r="AD1253" s="60"/>
      <c r="AE1253" s="60"/>
      <c r="AF1253" s="60"/>
      <c r="AG1253" s="60"/>
      <c r="AH1253" s="60"/>
      <c r="AI1253" s="60"/>
      <c r="AJ1253" s="60"/>
    </row>
    <row r="1254" spans="2:36" s="59" customFormat="1">
      <c r="B1254" s="203"/>
      <c r="D1254" s="186"/>
      <c r="F1254" s="209"/>
      <c r="G1254" s="209"/>
      <c r="H1254" s="209"/>
      <c r="I1254" s="209"/>
      <c r="J1254" s="209"/>
      <c r="K1254" s="191"/>
      <c r="L1254" s="363"/>
      <c r="M1254" s="366"/>
      <c r="N1254" s="366"/>
      <c r="O1254" s="365"/>
      <c r="P1254" s="365"/>
      <c r="Q1254" s="192"/>
      <c r="S1254" s="209"/>
      <c r="T1254" s="209"/>
      <c r="U1254" s="192"/>
      <c r="Z1254" s="60"/>
      <c r="AA1254" s="60"/>
      <c r="AB1254" s="60"/>
      <c r="AC1254" s="60"/>
      <c r="AD1254" s="60"/>
      <c r="AE1254" s="60"/>
      <c r="AF1254" s="60"/>
      <c r="AG1254" s="60"/>
      <c r="AH1254" s="60"/>
      <c r="AI1254" s="60"/>
      <c r="AJ1254" s="60"/>
    </row>
    <row r="1255" spans="2:36" s="59" customFormat="1">
      <c r="B1255" s="203"/>
      <c r="D1255" s="186"/>
      <c r="F1255" s="209"/>
      <c r="G1255" s="209"/>
      <c r="H1255" s="209"/>
      <c r="I1255" s="209"/>
      <c r="J1255" s="209"/>
      <c r="K1255" s="191"/>
      <c r="L1255" s="363"/>
      <c r="M1255" s="366"/>
      <c r="N1255" s="366"/>
      <c r="O1255" s="365"/>
      <c r="P1255" s="365"/>
      <c r="Q1255" s="192"/>
      <c r="S1255" s="209"/>
      <c r="T1255" s="209"/>
      <c r="U1255" s="192"/>
      <c r="Z1255" s="60"/>
      <c r="AA1255" s="60"/>
      <c r="AB1255" s="60"/>
      <c r="AC1255" s="60"/>
      <c r="AD1255" s="60"/>
      <c r="AE1255" s="60"/>
      <c r="AF1255" s="60"/>
      <c r="AG1255" s="60"/>
      <c r="AH1255" s="60"/>
      <c r="AI1255" s="60"/>
      <c r="AJ1255" s="60"/>
    </row>
    <row r="1256" spans="2:36" s="59" customFormat="1">
      <c r="B1256" s="203"/>
      <c r="D1256" s="186"/>
      <c r="F1256" s="209"/>
      <c r="G1256" s="209"/>
      <c r="H1256" s="209"/>
      <c r="I1256" s="209"/>
      <c r="J1256" s="209"/>
      <c r="K1256" s="191"/>
      <c r="L1256" s="363"/>
      <c r="M1256" s="366"/>
      <c r="N1256" s="366"/>
      <c r="O1256" s="365"/>
      <c r="P1256" s="365"/>
      <c r="Q1256" s="192"/>
      <c r="S1256" s="209"/>
      <c r="T1256" s="209"/>
      <c r="U1256" s="192"/>
      <c r="Z1256" s="60"/>
      <c r="AA1256" s="60"/>
      <c r="AB1256" s="60"/>
      <c r="AC1256" s="60"/>
      <c r="AD1256" s="60"/>
      <c r="AE1256" s="60"/>
      <c r="AF1256" s="60"/>
      <c r="AG1256" s="60"/>
      <c r="AH1256" s="60"/>
      <c r="AI1256" s="60"/>
      <c r="AJ1256" s="60"/>
    </row>
    <row r="1257" spans="2:36" s="59" customFormat="1">
      <c r="B1257" s="203"/>
      <c r="D1257" s="186"/>
      <c r="F1257" s="209"/>
      <c r="G1257" s="209"/>
      <c r="H1257" s="209"/>
      <c r="I1257" s="209"/>
      <c r="J1257" s="209"/>
      <c r="K1257" s="191"/>
      <c r="L1257" s="363"/>
      <c r="M1257" s="366"/>
      <c r="N1257" s="366"/>
      <c r="O1257" s="365"/>
      <c r="P1257" s="365"/>
      <c r="Q1257" s="192"/>
      <c r="S1257" s="209"/>
      <c r="T1257" s="209"/>
      <c r="U1257" s="192"/>
      <c r="Z1257" s="60"/>
      <c r="AA1257" s="60"/>
      <c r="AB1257" s="60"/>
      <c r="AC1257" s="60"/>
      <c r="AD1257" s="60"/>
      <c r="AE1257" s="60"/>
      <c r="AF1257" s="60"/>
      <c r="AG1257" s="60"/>
      <c r="AH1257" s="60"/>
      <c r="AI1257" s="60"/>
      <c r="AJ1257" s="60"/>
    </row>
    <row r="1258" spans="2:36" s="59" customFormat="1">
      <c r="B1258" s="203"/>
      <c r="D1258" s="186"/>
      <c r="F1258" s="209"/>
      <c r="G1258" s="209"/>
      <c r="H1258" s="209"/>
      <c r="I1258" s="209"/>
      <c r="J1258" s="209"/>
      <c r="K1258" s="191"/>
      <c r="L1258" s="363"/>
      <c r="M1258" s="366"/>
      <c r="N1258" s="366"/>
      <c r="O1258" s="365"/>
      <c r="P1258" s="365"/>
      <c r="Q1258" s="192"/>
      <c r="S1258" s="209"/>
      <c r="T1258" s="209"/>
      <c r="U1258" s="192"/>
      <c r="Z1258" s="60"/>
      <c r="AA1258" s="60"/>
      <c r="AB1258" s="60"/>
      <c r="AC1258" s="60"/>
      <c r="AD1258" s="60"/>
      <c r="AE1258" s="60"/>
      <c r="AF1258" s="60"/>
      <c r="AG1258" s="60"/>
      <c r="AH1258" s="60"/>
      <c r="AI1258" s="60"/>
      <c r="AJ1258" s="60"/>
    </row>
    <row r="1259" spans="2:36" s="59" customFormat="1">
      <c r="B1259" s="203"/>
      <c r="D1259" s="186"/>
      <c r="F1259" s="209"/>
      <c r="G1259" s="209"/>
      <c r="H1259" s="209"/>
      <c r="I1259" s="209"/>
      <c r="J1259" s="209"/>
      <c r="K1259" s="191"/>
      <c r="L1259" s="363"/>
      <c r="M1259" s="366"/>
      <c r="N1259" s="366"/>
      <c r="O1259" s="365"/>
      <c r="P1259" s="365"/>
      <c r="Q1259" s="192"/>
      <c r="S1259" s="209"/>
      <c r="T1259" s="209"/>
      <c r="U1259" s="192"/>
      <c r="Z1259" s="60"/>
      <c r="AA1259" s="60"/>
      <c r="AB1259" s="60"/>
      <c r="AC1259" s="60"/>
      <c r="AD1259" s="60"/>
      <c r="AE1259" s="60"/>
      <c r="AF1259" s="60"/>
      <c r="AG1259" s="60"/>
      <c r="AH1259" s="60"/>
      <c r="AI1259" s="60"/>
      <c r="AJ1259" s="60"/>
    </row>
    <row r="1260" spans="2:36" s="59" customFormat="1">
      <c r="B1260" s="203"/>
      <c r="D1260" s="186"/>
      <c r="F1260" s="209"/>
      <c r="G1260" s="209"/>
      <c r="H1260" s="209"/>
      <c r="I1260" s="209"/>
      <c r="J1260" s="209"/>
      <c r="K1260" s="191"/>
      <c r="L1260" s="363"/>
      <c r="M1260" s="366"/>
      <c r="N1260" s="366"/>
      <c r="O1260" s="365"/>
      <c r="P1260" s="365"/>
      <c r="Q1260" s="192"/>
      <c r="S1260" s="209"/>
      <c r="T1260" s="209"/>
      <c r="U1260" s="192"/>
      <c r="Z1260" s="60"/>
      <c r="AA1260" s="60"/>
      <c r="AB1260" s="60"/>
      <c r="AC1260" s="60"/>
      <c r="AD1260" s="60"/>
      <c r="AE1260" s="60"/>
      <c r="AF1260" s="60"/>
      <c r="AG1260" s="60"/>
      <c r="AH1260" s="60"/>
      <c r="AI1260" s="60"/>
      <c r="AJ1260" s="60"/>
    </row>
    <row r="1261" spans="2:36" s="59" customFormat="1">
      <c r="B1261" s="203"/>
      <c r="D1261" s="186"/>
      <c r="F1261" s="209"/>
      <c r="G1261" s="209"/>
      <c r="H1261" s="209"/>
      <c r="I1261" s="209"/>
      <c r="J1261" s="209"/>
      <c r="K1261" s="191"/>
      <c r="L1261" s="363"/>
      <c r="M1261" s="366"/>
      <c r="N1261" s="366"/>
      <c r="O1261" s="365"/>
      <c r="P1261" s="365"/>
      <c r="Q1261" s="192"/>
      <c r="S1261" s="209"/>
      <c r="T1261" s="209"/>
      <c r="U1261" s="192"/>
      <c r="Z1261" s="60"/>
      <c r="AA1261" s="60"/>
      <c r="AB1261" s="60"/>
      <c r="AC1261" s="60"/>
      <c r="AD1261" s="60"/>
      <c r="AE1261" s="60"/>
      <c r="AF1261" s="60"/>
      <c r="AG1261" s="60"/>
      <c r="AH1261" s="60"/>
      <c r="AI1261" s="60"/>
      <c r="AJ1261" s="60"/>
    </row>
    <row r="1262" spans="2:36" s="59" customFormat="1">
      <c r="B1262" s="203"/>
      <c r="D1262" s="186"/>
      <c r="F1262" s="209"/>
      <c r="G1262" s="209"/>
      <c r="H1262" s="209"/>
      <c r="I1262" s="209"/>
      <c r="J1262" s="209"/>
      <c r="K1262" s="191"/>
      <c r="L1262" s="363"/>
      <c r="M1262" s="366"/>
      <c r="N1262" s="366"/>
      <c r="O1262" s="365"/>
      <c r="P1262" s="365"/>
      <c r="Q1262" s="192"/>
      <c r="S1262" s="209"/>
      <c r="T1262" s="209"/>
      <c r="U1262" s="192"/>
      <c r="Z1262" s="60"/>
      <c r="AA1262" s="60"/>
      <c r="AB1262" s="60"/>
      <c r="AC1262" s="60"/>
      <c r="AD1262" s="60"/>
      <c r="AE1262" s="60"/>
      <c r="AF1262" s="60"/>
      <c r="AG1262" s="60"/>
      <c r="AH1262" s="60"/>
      <c r="AI1262" s="60"/>
      <c r="AJ1262" s="60"/>
    </row>
    <row r="1263" spans="2:36" s="59" customFormat="1">
      <c r="B1263" s="203"/>
      <c r="D1263" s="186"/>
      <c r="F1263" s="209"/>
      <c r="G1263" s="209"/>
      <c r="H1263" s="209"/>
      <c r="I1263" s="209"/>
      <c r="J1263" s="209"/>
      <c r="K1263" s="191"/>
      <c r="L1263" s="363"/>
      <c r="M1263" s="366"/>
      <c r="N1263" s="366"/>
      <c r="O1263" s="365"/>
      <c r="P1263" s="365"/>
      <c r="Q1263" s="192"/>
      <c r="S1263" s="209"/>
      <c r="T1263" s="209"/>
      <c r="U1263" s="192"/>
      <c r="Z1263" s="60"/>
      <c r="AA1263" s="60"/>
      <c r="AB1263" s="60"/>
      <c r="AC1263" s="60"/>
      <c r="AD1263" s="60"/>
      <c r="AE1263" s="60"/>
      <c r="AF1263" s="60"/>
      <c r="AG1263" s="60"/>
      <c r="AH1263" s="60"/>
      <c r="AI1263" s="60"/>
      <c r="AJ1263" s="60"/>
    </row>
    <row r="1264" spans="2:36" s="59" customFormat="1">
      <c r="B1264" s="203"/>
      <c r="D1264" s="186"/>
      <c r="F1264" s="209"/>
      <c r="G1264" s="209"/>
      <c r="H1264" s="209"/>
      <c r="I1264" s="209"/>
      <c r="J1264" s="209"/>
      <c r="K1264" s="191"/>
      <c r="L1264" s="363"/>
      <c r="M1264" s="366"/>
      <c r="N1264" s="366"/>
      <c r="O1264" s="365"/>
      <c r="P1264" s="365"/>
      <c r="Q1264" s="192"/>
      <c r="S1264" s="209"/>
      <c r="T1264" s="209"/>
      <c r="U1264" s="192"/>
      <c r="Z1264" s="60"/>
      <c r="AA1264" s="60"/>
      <c r="AB1264" s="60"/>
      <c r="AC1264" s="60"/>
      <c r="AD1264" s="60"/>
      <c r="AE1264" s="60"/>
      <c r="AF1264" s="60"/>
      <c r="AG1264" s="60"/>
      <c r="AH1264" s="60"/>
      <c r="AI1264" s="60"/>
      <c r="AJ1264" s="60"/>
    </row>
    <row r="1265" spans="2:36" s="59" customFormat="1">
      <c r="B1265" s="203"/>
      <c r="D1265" s="186"/>
      <c r="F1265" s="209"/>
      <c r="G1265" s="209"/>
      <c r="H1265" s="209"/>
      <c r="I1265" s="209"/>
      <c r="J1265" s="209"/>
      <c r="K1265" s="191"/>
      <c r="L1265" s="363"/>
      <c r="M1265" s="366"/>
      <c r="N1265" s="366"/>
      <c r="O1265" s="365"/>
      <c r="P1265" s="365"/>
      <c r="Q1265" s="192"/>
      <c r="S1265" s="209"/>
      <c r="T1265" s="209"/>
      <c r="U1265" s="192"/>
      <c r="Z1265" s="60"/>
      <c r="AA1265" s="60"/>
      <c r="AB1265" s="60"/>
      <c r="AC1265" s="60"/>
      <c r="AD1265" s="60"/>
      <c r="AE1265" s="60"/>
      <c r="AF1265" s="60"/>
      <c r="AG1265" s="60"/>
      <c r="AH1265" s="60"/>
      <c r="AI1265" s="60"/>
      <c r="AJ1265" s="60"/>
    </row>
    <row r="1266" spans="2:36" s="59" customFormat="1">
      <c r="B1266" s="203"/>
      <c r="D1266" s="186"/>
      <c r="F1266" s="209"/>
      <c r="G1266" s="209"/>
      <c r="H1266" s="209"/>
      <c r="I1266" s="209"/>
      <c r="J1266" s="209"/>
      <c r="K1266" s="191"/>
      <c r="L1266" s="363"/>
      <c r="M1266" s="366"/>
      <c r="N1266" s="366"/>
      <c r="O1266" s="365"/>
      <c r="P1266" s="365"/>
      <c r="Q1266" s="192"/>
      <c r="S1266" s="209"/>
      <c r="T1266" s="209"/>
      <c r="U1266" s="192"/>
      <c r="Z1266" s="60"/>
      <c r="AA1266" s="60"/>
      <c r="AB1266" s="60"/>
      <c r="AC1266" s="60"/>
      <c r="AD1266" s="60"/>
      <c r="AE1266" s="60"/>
      <c r="AF1266" s="60"/>
      <c r="AG1266" s="60"/>
      <c r="AH1266" s="60"/>
      <c r="AI1266" s="60"/>
      <c r="AJ1266" s="60"/>
    </row>
    <row r="1267" spans="2:36" s="59" customFormat="1">
      <c r="B1267" s="203"/>
      <c r="D1267" s="186"/>
      <c r="F1267" s="209"/>
      <c r="G1267" s="209"/>
      <c r="H1267" s="209"/>
      <c r="I1267" s="209"/>
      <c r="J1267" s="209"/>
      <c r="K1267" s="191"/>
      <c r="L1267" s="363"/>
      <c r="M1267" s="366"/>
      <c r="N1267" s="366"/>
      <c r="O1267" s="365"/>
      <c r="P1267" s="365"/>
      <c r="Q1267" s="192"/>
      <c r="S1267" s="209"/>
      <c r="T1267" s="209"/>
      <c r="U1267" s="192"/>
      <c r="Z1267" s="60"/>
      <c r="AA1267" s="60"/>
      <c r="AB1267" s="60"/>
      <c r="AC1267" s="60"/>
      <c r="AD1267" s="60"/>
      <c r="AE1267" s="60"/>
      <c r="AF1267" s="60"/>
      <c r="AG1267" s="60"/>
      <c r="AH1267" s="60"/>
      <c r="AI1267" s="60"/>
      <c r="AJ1267" s="60"/>
    </row>
    <row r="1268" spans="2:36" s="59" customFormat="1">
      <c r="B1268" s="203"/>
      <c r="D1268" s="186"/>
      <c r="F1268" s="209"/>
      <c r="G1268" s="209"/>
      <c r="H1268" s="209"/>
      <c r="I1268" s="209"/>
      <c r="J1268" s="209"/>
      <c r="K1268" s="191"/>
      <c r="L1268" s="363"/>
      <c r="M1268" s="366"/>
      <c r="N1268" s="366"/>
      <c r="O1268" s="365"/>
      <c r="P1268" s="365"/>
      <c r="Q1268" s="192"/>
      <c r="S1268" s="209"/>
      <c r="T1268" s="209"/>
      <c r="U1268" s="192"/>
      <c r="Z1268" s="60"/>
      <c r="AA1268" s="60"/>
      <c r="AB1268" s="60"/>
      <c r="AC1268" s="60"/>
      <c r="AD1268" s="60"/>
      <c r="AE1268" s="60"/>
      <c r="AF1268" s="60"/>
      <c r="AG1268" s="60"/>
      <c r="AH1268" s="60"/>
      <c r="AI1268" s="60"/>
      <c r="AJ1268" s="60"/>
    </row>
    <row r="1269" spans="2:36" s="59" customFormat="1">
      <c r="B1269" s="203"/>
      <c r="D1269" s="186"/>
      <c r="F1269" s="209"/>
      <c r="G1269" s="209"/>
      <c r="H1269" s="209"/>
      <c r="I1269" s="209"/>
      <c r="J1269" s="209"/>
      <c r="K1269" s="191"/>
      <c r="L1269" s="363"/>
      <c r="M1269" s="366"/>
      <c r="N1269" s="366"/>
      <c r="O1269" s="365"/>
      <c r="P1269" s="365"/>
      <c r="Q1269" s="192"/>
      <c r="S1269" s="209"/>
      <c r="T1269" s="209"/>
      <c r="U1269" s="192"/>
      <c r="Z1269" s="60"/>
      <c r="AA1269" s="60"/>
      <c r="AB1269" s="60"/>
      <c r="AC1269" s="60"/>
      <c r="AD1269" s="60"/>
      <c r="AE1269" s="60"/>
      <c r="AF1269" s="60"/>
      <c r="AG1269" s="60"/>
      <c r="AH1269" s="60"/>
      <c r="AI1269" s="60"/>
      <c r="AJ1269" s="60"/>
    </row>
    <row r="1270" spans="2:36" s="59" customFormat="1">
      <c r="B1270" s="203"/>
      <c r="D1270" s="186"/>
      <c r="F1270" s="209"/>
      <c r="G1270" s="209"/>
      <c r="H1270" s="209"/>
      <c r="I1270" s="209"/>
      <c r="J1270" s="209"/>
      <c r="K1270" s="191"/>
      <c r="L1270" s="363"/>
      <c r="M1270" s="366"/>
      <c r="N1270" s="366"/>
      <c r="O1270" s="365"/>
      <c r="P1270" s="365"/>
      <c r="Q1270" s="192"/>
      <c r="S1270" s="209"/>
      <c r="T1270" s="209"/>
      <c r="U1270" s="192"/>
      <c r="Z1270" s="60"/>
      <c r="AA1270" s="60"/>
      <c r="AB1270" s="60"/>
      <c r="AC1270" s="60"/>
      <c r="AD1270" s="60"/>
      <c r="AE1270" s="60"/>
      <c r="AF1270" s="60"/>
      <c r="AG1270" s="60"/>
      <c r="AH1270" s="60"/>
      <c r="AI1270" s="60"/>
      <c r="AJ1270" s="60"/>
    </row>
    <row r="1271" spans="2:36" s="59" customFormat="1">
      <c r="B1271" s="203"/>
      <c r="D1271" s="186"/>
      <c r="F1271" s="209"/>
      <c r="G1271" s="209"/>
      <c r="H1271" s="209"/>
      <c r="I1271" s="209"/>
      <c r="J1271" s="209"/>
      <c r="K1271" s="191"/>
      <c r="L1271" s="363"/>
      <c r="M1271" s="366"/>
      <c r="N1271" s="366"/>
      <c r="O1271" s="365"/>
      <c r="P1271" s="365"/>
      <c r="Q1271" s="192"/>
      <c r="S1271" s="209"/>
      <c r="T1271" s="209"/>
      <c r="U1271" s="192"/>
      <c r="Z1271" s="60"/>
      <c r="AA1271" s="60"/>
      <c r="AB1271" s="60"/>
      <c r="AC1271" s="60"/>
      <c r="AD1271" s="60"/>
      <c r="AE1271" s="60"/>
      <c r="AF1271" s="60"/>
      <c r="AG1271" s="60"/>
      <c r="AH1271" s="60"/>
      <c r="AI1271" s="60"/>
      <c r="AJ1271" s="60"/>
    </row>
    <row r="1272" spans="2:36" s="59" customFormat="1">
      <c r="B1272" s="203"/>
      <c r="D1272" s="186"/>
      <c r="F1272" s="209"/>
      <c r="G1272" s="209"/>
      <c r="H1272" s="209"/>
      <c r="I1272" s="209"/>
      <c r="J1272" s="209"/>
      <c r="K1272" s="191"/>
      <c r="L1272" s="363"/>
      <c r="M1272" s="366"/>
      <c r="N1272" s="366"/>
      <c r="O1272" s="365"/>
      <c r="P1272" s="365"/>
      <c r="Q1272" s="192"/>
      <c r="S1272" s="209"/>
      <c r="T1272" s="209"/>
      <c r="U1272" s="192"/>
      <c r="Z1272" s="60"/>
      <c r="AA1272" s="60"/>
      <c r="AB1272" s="60"/>
      <c r="AC1272" s="60"/>
      <c r="AD1272" s="60"/>
      <c r="AE1272" s="60"/>
      <c r="AF1272" s="60"/>
      <c r="AG1272" s="60"/>
      <c r="AH1272" s="60"/>
      <c r="AI1272" s="60"/>
      <c r="AJ1272" s="60"/>
    </row>
    <row r="1273" spans="2:36" s="59" customFormat="1">
      <c r="B1273" s="203"/>
      <c r="D1273" s="186"/>
      <c r="F1273" s="209"/>
      <c r="G1273" s="209"/>
      <c r="H1273" s="209"/>
      <c r="I1273" s="209"/>
      <c r="J1273" s="209"/>
      <c r="K1273" s="191"/>
      <c r="L1273" s="363"/>
      <c r="M1273" s="366"/>
      <c r="N1273" s="366"/>
      <c r="O1273" s="365"/>
      <c r="P1273" s="365"/>
      <c r="Q1273" s="192"/>
      <c r="S1273" s="209"/>
      <c r="T1273" s="209"/>
      <c r="U1273" s="192"/>
      <c r="Z1273" s="60"/>
      <c r="AA1273" s="60"/>
      <c r="AB1273" s="60"/>
      <c r="AC1273" s="60"/>
      <c r="AD1273" s="60"/>
      <c r="AE1273" s="60"/>
      <c r="AF1273" s="60"/>
      <c r="AG1273" s="60"/>
      <c r="AH1273" s="60"/>
      <c r="AI1273" s="60"/>
      <c r="AJ1273" s="60"/>
    </row>
    <row r="1274" spans="2:36" s="59" customFormat="1">
      <c r="B1274" s="203"/>
      <c r="D1274" s="186"/>
      <c r="F1274" s="209"/>
      <c r="G1274" s="209"/>
      <c r="H1274" s="209"/>
      <c r="I1274" s="209"/>
      <c r="J1274" s="209"/>
      <c r="K1274" s="191"/>
      <c r="L1274" s="363"/>
      <c r="M1274" s="366"/>
      <c r="N1274" s="366"/>
      <c r="O1274" s="365"/>
      <c r="P1274" s="365"/>
      <c r="Q1274" s="192"/>
      <c r="S1274" s="209"/>
      <c r="T1274" s="209"/>
      <c r="U1274" s="192"/>
      <c r="Z1274" s="60"/>
      <c r="AA1274" s="60"/>
      <c r="AB1274" s="60"/>
      <c r="AC1274" s="60"/>
      <c r="AD1274" s="60"/>
      <c r="AE1274" s="60"/>
      <c r="AF1274" s="60"/>
      <c r="AG1274" s="60"/>
      <c r="AH1274" s="60"/>
      <c r="AI1274" s="60"/>
      <c r="AJ1274" s="60"/>
    </row>
    <row r="1275" spans="2:36" s="59" customFormat="1">
      <c r="B1275" s="203"/>
      <c r="D1275" s="186"/>
      <c r="F1275" s="209"/>
      <c r="G1275" s="209"/>
      <c r="H1275" s="209"/>
      <c r="I1275" s="209"/>
      <c r="J1275" s="209"/>
      <c r="K1275" s="191"/>
      <c r="L1275" s="363"/>
      <c r="M1275" s="366"/>
      <c r="N1275" s="366"/>
      <c r="O1275" s="365"/>
      <c r="P1275" s="365"/>
      <c r="Q1275" s="192"/>
      <c r="S1275" s="209"/>
      <c r="T1275" s="209"/>
      <c r="U1275" s="192"/>
      <c r="Z1275" s="60"/>
      <c r="AA1275" s="60"/>
      <c r="AB1275" s="60"/>
      <c r="AC1275" s="60"/>
      <c r="AD1275" s="60"/>
      <c r="AE1275" s="60"/>
      <c r="AF1275" s="60"/>
      <c r="AG1275" s="60"/>
      <c r="AH1275" s="60"/>
      <c r="AI1275" s="60"/>
      <c r="AJ1275" s="60"/>
    </row>
    <row r="1276" spans="2:36" s="59" customFormat="1">
      <c r="B1276" s="203"/>
      <c r="D1276" s="186"/>
      <c r="F1276" s="209"/>
      <c r="G1276" s="209"/>
      <c r="H1276" s="209"/>
      <c r="I1276" s="209"/>
      <c r="J1276" s="209"/>
      <c r="K1276" s="191"/>
      <c r="L1276" s="363"/>
      <c r="M1276" s="366"/>
      <c r="N1276" s="366"/>
      <c r="O1276" s="365"/>
      <c r="P1276" s="365"/>
      <c r="Q1276" s="192"/>
      <c r="S1276" s="209"/>
      <c r="T1276" s="209"/>
      <c r="U1276" s="192"/>
      <c r="Z1276" s="60"/>
      <c r="AA1276" s="60"/>
      <c r="AB1276" s="60"/>
      <c r="AC1276" s="60"/>
      <c r="AD1276" s="60"/>
      <c r="AE1276" s="60"/>
      <c r="AF1276" s="60"/>
      <c r="AG1276" s="60"/>
      <c r="AH1276" s="60"/>
      <c r="AI1276" s="60"/>
      <c r="AJ1276" s="60"/>
    </row>
    <row r="1277" spans="2:36" s="59" customFormat="1">
      <c r="B1277" s="203"/>
      <c r="D1277" s="186"/>
      <c r="F1277" s="209"/>
      <c r="G1277" s="209"/>
      <c r="H1277" s="209"/>
      <c r="I1277" s="209"/>
      <c r="J1277" s="209"/>
      <c r="K1277" s="191"/>
      <c r="L1277" s="363"/>
      <c r="M1277" s="366"/>
      <c r="N1277" s="366"/>
      <c r="O1277" s="365"/>
      <c r="P1277" s="365"/>
      <c r="Q1277" s="192"/>
      <c r="S1277" s="209"/>
      <c r="T1277" s="209"/>
      <c r="U1277" s="192"/>
      <c r="Z1277" s="60"/>
      <c r="AA1277" s="60"/>
      <c r="AB1277" s="60"/>
      <c r="AC1277" s="60"/>
      <c r="AD1277" s="60"/>
      <c r="AE1277" s="60"/>
      <c r="AF1277" s="60"/>
      <c r="AG1277" s="60"/>
      <c r="AH1277" s="60"/>
      <c r="AI1277" s="60"/>
      <c r="AJ1277" s="60"/>
    </row>
    <row r="1278" spans="2:36" s="59" customFormat="1">
      <c r="B1278" s="203"/>
      <c r="D1278" s="186"/>
      <c r="F1278" s="209"/>
      <c r="G1278" s="209"/>
      <c r="H1278" s="209"/>
      <c r="I1278" s="209"/>
      <c r="J1278" s="209"/>
      <c r="K1278" s="191"/>
      <c r="L1278" s="363"/>
      <c r="M1278" s="366"/>
      <c r="N1278" s="366"/>
      <c r="O1278" s="365"/>
      <c r="P1278" s="365"/>
      <c r="Q1278" s="192"/>
      <c r="S1278" s="209"/>
      <c r="T1278" s="209"/>
      <c r="U1278" s="192"/>
      <c r="Z1278" s="60"/>
      <c r="AA1278" s="60"/>
      <c r="AB1278" s="60"/>
      <c r="AC1278" s="60"/>
      <c r="AD1278" s="60"/>
      <c r="AE1278" s="60"/>
      <c r="AF1278" s="60"/>
      <c r="AG1278" s="60"/>
      <c r="AH1278" s="60"/>
      <c r="AI1278" s="60"/>
      <c r="AJ1278" s="60"/>
    </row>
    <row r="1279" spans="2:36" s="59" customFormat="1">
      <c r="B1279" s="203"/>
      <c r="D1279" s="186"/>
      <c r="F1279" s="209"/>
      <c r="G1279" s="209"/>
      <c r="H1279" s="209"/>
      <c r="I1279" s="209"/>
      <c r="J1279" s="209"/>
      <c r="K1279" s="191"/>
      <c r="L1279" s="363"/>
      <c r="M1279" s="366"/>
      <c r="N1279" s="366"/>
      <c r="O1279" s="365"/>
      <c r="P1279" s="365"/>
      <c r="Q1279" s="192"/>
      <c r="S1279" s="209"/>
      <c r="T1279" s="209"/>
      <c r="U1279" s="192"/>
      <c r="Z1279" s="60"/>
      <c r="AA1279" s="60"/>
      <c r="AB1279" s="60"/>
      <c r="AC1279" s="60"/>
      <c r="AD1279" s="60"/>
      <c r="AE1279" s="60"/>
      <c r="AF1279" s="60"/>
      <c r="AG1279" s="60"/>
      <c r="AH1279" s="60"/>
      <c r="AI1279" s="60"/>
      <c r="AJ1279" s="60"/>
    </row>
    <row r="1280" spans="2:36" s="59" customFormat="1">
      <c r="B1280" s="203"/>
      <c r="D1280" s="186"/>
      <c r="F1280" s="209"/>
      <c r="G1280" s="209"/>
      <c r="H1280" s="209"/>
      <c r="I1280" s="209"/>
      <c r="J1280" s="209"/>
      <c r="K1280" s="191"/>
      <c r="L1280" s="363"/>
      <c r="M1280" s="366"/>
      <c r="N1280" s="366"/>
      <c r="O1280" s="365"/>
      <c r="P1280" s="365"/>
      <c r="Q1280" s="192"/>
      <c r="S1280" s="209"/>
      <c r="T1280" s="209"/>
      <c r="U1280" s="192"/>
      <c r="Z1280" s="60"/>
      <c r="AA1280" s="60"/>
      <c r="AB1280" s="60"/>
      <c r="AC1280" s="60"/>
      <c r="AD1280" s="60"/>
      <c r="AE1280" s="60"/>
      <c r="AF1280" s="60"/>
      <c r="AG1280" s="60"/>
      <c r="AH1280" s="60"/>
      <c r="AI1280" s="60"/>
      <c r="AJ1280" s="60"/>
    </row>
    <row r="1281" spans="2:36" s="59" customFormat="1">
      <c r="B1281" s="203"/>
      <c r="D1281" s="186"/>
      <c r="F1281" s="209"/>
      <c r="G1281" s="209"/>
      <c r="H1281" s="209"/>
      <c r="I1281" s="209"/>
      <c r="J1281" s="209"/>
      <c r="K1281" s="191"/>
      <c r="L1281" s="363"/>
      <c r="M1281" s="366"/>
      <c r="N1281" s="366"/>
      <c r="O1281" s="365"/>
      <c r="P1281" s="365"/>
      <c r="Q1281" s="192"/>
      <c r="S1281" s="209"/>
      <c r="T1281" s="209"/>
      <c r="U1281" s="192"/>
      <c r="Z1281" s="60"/>
      <c r="AA1281" s="60"/>
      <c r="AB1281" s="60"/>
      <c r="AC1281" s="60"/>
      <c r="AD1281" s="60"/>
      <c r="AE1281" s="60"/>
      <c r="AF1281" s="60"/>
      <c r="AG1281" s="60"/>
      <c r="AH1281" s="60"/>
      <c r="AI1281" s="60"/>
      <c r="AJ1281" s="60"/>
    </row>
    <row r="1282" spans="2:36" s="59" customFormat="1">
      <c r="B1282" s="203"/>
      <c r="D1282" s="186"/>
      <c r="F1282" s="209"/>
      <c r="G1282" s="209"/>
      <c r="H1282" s="209"/>
      <c r="I1282" s="209"/>
      <c r="J1282" s="209"/>
      <c r="K1282" s="191"/>
      <c r="L1282" s="363"/>
      <c r="M1282" s="366"/>
      <c r="N1282" s="366"/>
      <c r="O1282" s="365"/>
      <c r="P1282" s="365"/>
      <c r="Q1282" s="192"/>
      <c r="S1282" s="209"/>
      <c r="T1282" s="209"/>
      <c r="U1282" s="192"/>
      <c r="Z1282" s="60"/>
      <c r="AA1282" s="60"/>
      <c r="AB1282" s="60"/>
      <c r="AC1282" s="60"/>
      <c r="AD1282" s="60"/>
      <c r="AE1282" s="60"/>
      <c r="AF1282" s="60"/>
      <c r="AG1282" s="60"/>
      <c r="AH1282" s="60"/>
      <c r="AI1282" s="60"/>
      <c r="AJ1282" s="60"/>
    </row>
    <row r="1283" spans="2:36" s="59" customFormat="1">
      <c r="B1283" s="203"/>
      <c r="D1283" s="186"/>
      <c r="F1283" s="209"/>
      <c r="G1283" s="209"/>
      <c r="H1283" s="209"/>
      <c r="I1283" s="209"/>
      <c r="J1283" s="209"/>
      <c r="K1283" s="191"/>
      <c r="L1283" s="363"/>
      <c r="M1283" s="366"/>
      <c r="N1283" s="366"/>
      <c r="O1283" s="365"/>
      <c r="P1283" s="365"/>
      <c r="Q1283" s="192"/>
      <c r="S1283" s="209"/>
      <c r="T1283" s="209"/>
      <c r="U1283" s="192"/>
      <c r="Z1283" s="60"/>
      <c r="AA1283" s="60"/>
      <c r="AB1283" s="60"/>
      <c r="AC1283" s="60"/>
      <c r="AD1283" s="60"/>
      <c r="AE1283" s="60"/>
      <c r="AF1283" s="60"/>
      <c r="AG1283" s="60"/>
      <c r="AH1283" s="60"/>
      <c r="AI1283" s="60"/>
      <c r="AJ1283" s="60"/>
    </row>
    <row r="1284" spans="2:36" s="59" customFormat="1">
      <c r="B1284" s="203"/>
      <c r="D1284" s="186"/>
      <c r="F1284" s="209"/>
      <c r="G1284" s="209"/>
      <c r="H1284" s="209"/>
      <c r="I1284" s="209"/>
      <c r="J1284" s="209"/>
      <c r="K1284" s="191"/>
      <c r="L1284" s="363"/>
      <c r="M1284" s="366"/>
      <c r="N1284" s="366"/>
      <c r="O1284" s="365"/>
      <c r="P1284" s="365"/>
      <c r="Q1284" s="192"/>
      <c r="S1284" s="209"/>
      <c r="T1284" s="209"/>
      <c r="U1284" s="192"/>
      <c r="Z1284" s="60"/>
      <c r="AA1284" s="60"/>
      <c r="AB1284" s="60"/>
      <c r="AC1284" s="60"/>
      <c r="AD1284" s="60"/>
      <c r="AE1284" s="60"/>
      <c r="AF1284" s="60"/>
      <c r="AG1284" s="60"/>
      <c r="AH1284" s="60"/>
      <c r="AI1284" s="60"/>
      <c r="AJ1284" s="60"/>
    </row>
    <row r="1285" spans="2:36" s="59" customFormat="1">
      <c r="B1285" s="203"/>
      <c r="D1285" s="186"/>
      <c r="F1285" s="209"/>
      <c r="G1285" s="209"/>
      <c r="H1285" s="209"/>
      <c r="I1285" s="209"/>
      <c r="J1285" s="209"/>
      <c r="K1285" s="191"/>
      <c r="L1285" s="363"/>
      <c r="M1285" s="366"/>
      <c r="N1285" s="366"/>
      <c r="O1285" s="365"/>
      <c r="P1285" s="365"/>
      <c r="Q1285" s="192"/>
      <c r="S1285" s="209"/>
      <c r="T1285" s="209"/>
      <c r="U1285" s="192"/>
      <c r="Z1285" s="60"/>
      <c r="AA1285" s="60"/>
      <c r="AB1285" s="60"/>
      <c r="AC1285" s="60"/>
      <c r="AD1285" s="60"/>
      <c r="AE1285" s="60"/>
      <c r="AF1285" s="60"/>
      <c r="AG1285" s="60"/>
      <c r="AH1285" s="60"/>
      <c r="AI1285" s="60"/>
      <c r="AJ1285" s="60"/>
    </row>
    <row r="1286" spans="2:36" s="59" customFormat="1">
      <c r="B1286" s="203"/>
      <c r="D1286" s="186"/>
      <c r="F1286" s="209"/>
      <c r="G1286" s="209"/>
      <c r="H1286" s="209"/>
      <c r="I1286" s="209"/>
      <c r="J1286" s="209"/>
      <c r="K1286" s="191"/>
      <c r="L1286" s="363"/>
      <c r="M1286" s="366"/>
      <c r="N1286" s="366"/>
      <c r="O1286" s="365"/>
      <c r="P1286" s="365"/>
      <c r="Q1286" s="192"/>
      <c r="S1286" s="209"/>
      <c r="T1286" s="209"/>
      <c r="U1286" s="192"/>
      <c r="Z1286" s="60"/>
      <c r="AA1286" s="60"/>
      <c r="AB1286" s="60"/>
      <c r="AC1286" s="60"/>
      <c r="AD1286" s="60"/>
      <c r="AE1286" s="60"/>
      <c r="AF1286" s="60"/>
      <c r="AG1286" s="60"/>
      <c r="AH1286" s="60"/>
      <c r="AI1286" s="60"/>
      <c r="AJ1286" s="60"/>
    </row>
    <row r="1287" spans="2:36" s="59" customFormat="1">
      <c r="B1287" s="203"/>
      <c r="D1287" s="186"/>
      <c r="F1287" s="209"/>
      <c r="G1287" s="209"/>
      <c r="H1287" s="209"/>
      <c r="I1287" s="209"/>
      <c r="J1287" s="209"/>
      <c r="K1287" s="191"/>
      <c r="L1287" s="363"/>
      <c r="M1287" s="366"/>
      <c r="N1287" s="366"/>
      <c r="O1287" s="365"/>
      <c r="P1287" s="365"/>
      <c r="Q1287" s="192"/>
      <c r="S1287" s="209"/>
      <c r="T1287" s="209"/>
      <c r="U1287" s="192"/>
      <c r="Z1287" s="60"/>
      <c r="AA1287" s="60"/>
      <c r="AB1287" s="60"/>
      <c r="AC1287" s="60"/>
      <c r="AD1287" s="60"/>
      <c r="AE1287" s="60"/>
      <c r="AF1287" s="60"/>
      <c r="AG1287" s="60"/>
      <c r="AH1287" s="60"/>
      <c r="AI1287" s="60"/>
      <c r="AJ1287" s="60"/>
    </row>
    <row r="1288" spans="2:36" s="59" customFormat="1">
      <c r="B1288" s="203"/>
      <c r="D1288" s="186"/>
      <c r="F1288" s="209"/>
      <c r="G1288" s="209"/>
      <c r="H1288" s="209"/>
      <c r="I1288" s="209"/>
      <c r="J1288" s="209"/>
      <c r="K1288" s="191"/>
      <c r="L1288" s="363"/>
      <c r="M1288" s="366"/>
      <c r="N1288" s="366"/>
      <c r="O1288" s="365"/>
      <c r="P1288" s="365"/>
      <c r="Q1288" s="192"/>
      <c r="S1288" s="209"/>
      <c r="T1288" s="209"/>
      <c r="U1288" s="192"/>
      <c r="Z1288" s="60"/>
      <c r="AA1288" s="60"/>
      <c r="AB1288" s="60"/>
      <c r="AC1288" s="60"/>
      <c r="AD1288" s="60"/>
      <c r="AE1288" s="60"/>
      <c r="AF1288" s="60"/>
      <c r="AG1288" s="60"/>
      <c r="AH1288" s="60"/>
      <c r="AI1288" s="60"/>
      <c r="AJ1288" s="60"/>
    </row>
    <row r="1289" spans="2:36" s="59" customFormat="1">
      <c r="B1289" s="203"/>
      <c r="D1289" s="186"/>
      <c r="F1289" s="209"/>
      <c r="G1289" s="209"/>
      <c r="H1289" s="209"/>
      <c r="I1289" s="209"/>
      <c r="J1289" s="209"/>
      <c r="K1289" s="191"/>
      <c r="L1289" s="363"/>
      <c r="M1289" s="366"/>
      <c r="N1289" s="366"/>
      <c r="O1289" s="365"/>
      <c r="P1289" s="365"/>
      <c r="Q1289" s="192"/>
      <c r="S1289" s="209"/>
      <c r="T1289" s="209"/>
      <c r="U1289" s="192"/>
      <c r="Z1289" s="60"/>
      <c r="AA1289" s="60"/>
      <c r="AB1289" s="60"/>
      <c r="AC1289" s="60"/>
      <c r="AD1289" s="60"/>
      <c r="AE1289" s="60"/>
      <c r="AF1289" s="60"/>
      <c r="AG1289" s="60"/>
      <c r="AH1289" s="60"/>
      <c r="AI1289" s="60"/>
      <c r="AJ1289" s="60"/>
    </row>
    <row r="1290" spans="2:36" s="59" customFormat="1">
      <c r="B1290" s="203"/>
      <c r="D1290" s="186"/>
      <c r="F1290" s="209"/>
      <c r="G1290" s="209"/>
      <c r="H1290" s="209"/>
      <c r="I1290" s="209"/>
      <c r="J1290" s="209"/>
      <c r="K1290" s="191"/>
      <c r="L1290" s="363"/>
      <c r="M1290" s="366"/>
      <c r="N1290" s="366"/>
      <c r="O1290" s="365"/>
      <c r="P1290" s="365"/>
      <c r="Q1290" s="192"/>
      <c r="S1290" s="209"/>
      <c r="T1290" s="209"/>
      <c r="U1290" s="192"/>
      <c r="Z1290" s="60"/>
      <c r="AA1290" s="60"/>
      <c r="AB1290" s="60"/>
      <c r="AC1290" s="60"/>
      <c r="AD1290" s="60"/>
      <c r="AE1290" s="60"/>
      <c r="AF1290" s="60"/>
      <c r="AG1290" s="60"/>
      <c r="AH1290" s="60"/>
      <c r="AI1290" s="60"/>
      <c r="AJ1290" s="60"/>
    </row>
    <row r="1291" spans="2:36" s="59" customFormat="1">
      <c r="B1291" s="203"/>
      <c r="D1291" s="186"/>
      <c r="F1291" s="209"/>
      <c r="G1291" s="209"/>
      <c r="H1291" s="209"/>
      <c r="I1291" s="209"/>
      <c r="J1291" s="209"/>
      <c r="K1291" s="191"/>
      <c r="L1291" s="363"/>
      <c r="M1291" s="366"/>
      <c r="N1291" s="366"/>
      <c r="O1291" s="365"/>
      <c r="P1291" s="365"/>
      <c r="Q1291" s="192"/>
      <c r="S1291" s="209"/>
      <c r="T1291" s="209"/>
      <c r="U1291" s="192"/>
      <c r="Z1291" s="60"/>
      <c r="AA1291" s="60"/>
      <c r="AB1291" s="60"/>
      <c r="AC1291" s="60"/>
      <c r="AD1291" s="60"/>
      <c r="AE1291" s="60"/>
      <c r="AF1291" s="60"/>
      <c r="AG1291" s="60"/>
      <c r="AH1291" s="60"/>
      <c r="AI1291" s="60"/>
      <c r="AJ1291" s="60"/>
    </row>
    <row r="1292" spans="2:36" s="59" customFormat="1">
      <c r="B1292" s="203"/>
      <c r="D1292" s="186"/>
      <c r="F1292" s="209"/>
      <c r="G1292" s="209"/>
      <c r="H1292" s="209"/>
      <c r="I1292" s="209"/>
      <c r="J1292" s="209"/>
      <c r="K1292" s="191"/>
      <c r="L1292" s="363"/>
      <c r="M1292" s="366"/>
      <c r="N1292" s="366"/>
      <c r="O1292" s="365"/>
      <c r="P1292" s="365"/>
      <c r="Q1292" s="192"/>
      <c r="S1292" s="209"/>
      <c r="T1292" s="209"/>
      <c r="U1292" s="192"/>
      <c r="Z1292" s="60"/>
      <c r="AA1292" s="60"/>
      <c r="AB1292" s="60"/>
      <c r="AC1292" s="60"/>
      <c r="AD1292" s="60"/>
      <c r="AE1292" s="60"/>
      <c r="AF1292" s="60"/>
      <c r="AG1292" s="60"/>
      <c r="AH1292" s="60"/>
      <c r="AI1292" s="60"/>
      <c r="AJ1292" s="60"/>
    </row>
    <row r="1293" spans="2:36" s="59" customFormat="1">
      <c r="B1293" s="203"/>
      <c r="D1293" s="186"/>
      <c r="F1293" s="209"/>
      <c r="G1293" s="209"/>
      <c r="H1293" s="209"/>
      <c r="I1293" s="209"/>
      <c r="J1293" s="209"/>
      <c r="K1293" s="191"/>
      <c r="L1293" s="363"/>
      <c r="M1293" s="366"/>
      <c r="N1293" s="366"/>
      <c r="O1293" s="365"/>
      <c r="P1293" s="365"/>
      <c r="Q1293" s="192"/>
      <c r="S1293" s="209"/>
      <c r="T1293" s="209"/>
      <c r="U1293" s="192"/>
      <c r="Z1293" s="60"/>
      <c r="AA1293" s="60"/>
      <c r="AB1293" s="60"/>
      <c r="AC1293" s="60"/>
      <c r="AD1293" s="60"/>
      <c r="AE1293" s="60"/>
      <c r="AF1293" s="60"/>
      <c r="AG1293" s="60"/>
      <c r="AH1293" s="60"/>
      <c r="AI1293" s="60"/>
      <c r="AJ1293" s="60"/>
    </row>
    <row r="1294" spans="2:36" s="59" customFormat="1">
      <c r="B1294" s="203"/>
      <c r="D1294" s="186"/>
      <c r="F1294" s="209"/>
      <c r="G1294" s="209"/>
      <c r="H1294" s="209"/>
      <c r="I1294" s="209"/>
      <c r="J1294" s="209"/>
      <c r="K1294" s="191"/>
      <c r="L1294" s="363"/>
      <c r="M1294" s="366"/>
      <c r="N1294" s="366"/>
      <c r="O1294" s="365"/>
      <c r="P1294" s="365"/>
      <c r="Q1294" s="192"/>
      <c r="S1294" s="209"/>
      <c r="T1294" s="209"/>
      <c r="U1294" s="192"/>
      <c r="Z1294" s="60"/>
      <c r="AA1294" s="60"/>
      <c r="AB1294" s="60"/>
      <c r="AC1294" s="60"/>
      <c r="AD1294" s="60"/>
      <c r="AE1294" s="60"/>
      <c r="AF1294" s="60"/>
      <c r="AG1294" s="60"/>
      <c r="AH1294" s="60"/>
      <c r="AI1294" s="60"/>
      <c r="AJ1294" s="60"/>
    </row>
    <row r="1295" spans="2:36" s="59" customFormat="1">
      <c r="B1295" s="203"/>
      <c r="D1295" s="186"/>
      <c r="F1295" s="209"/>
      <c r="G1295" s="209"/>
      <c r="H1295" s="209"/>
      <c r="I1295" s="209"/>
      <c r="J1295" s="209"/>
      <c r="K1295" s="191"/>
      <c r="L1295" s="363"/>
      <c r="M1295" s="366"/>
      <c r="N1295" s="366"/>
      <c r="O1295" s="365"/>
      <c r="P1295" s="365"/>
      <c r="Q1295" s="192"/>
      <c r="S1295" s="209"/>
      <c r="T1295" s="209"/>
      <c r="U1295" s="192"/>
      <c r="Z1295" s="60"/>
      <c r="AA1295" s="60"/>
      <c r="AB1295" s="60"/>
      <c r="AC1295" s="60"/>
      <c r="AD1295" s="60"/>
      <c r="AE1295" s="60"/>
      <c r="AF1295" s="60"/>
      <c r="AG1295" s="60"/>
      <c r="AH1295" s="60"/>
      <c r="AI1295" s="60"/>
      <c r="AJ1295" s="60"/>
    </row>
    <row r="1296" spans="2:36" s="59" customFormat="1">
      <c r="B1296" s="203"/>
      <c r="D1296" s="186"/>
      <c r="F1296" s="209"/>
      <c r="G1296" s="209"/>
      <c r="H1296" s="209"/>
      <c r="I1296" s="209"/>
      <c r="J1296" s="209"/>
      <c r="K1296" s="191"/>
      <c r="L1296" s="363"/>
      <c r="M1296" s="366"/>
      <c r="N1296" s="366"/>
      <c r="O1296" s="365"/>
      <c r="P1296" s="365"/>
      <c r="Q1296" s="192"/>
      <c r="S1296" s="209"/>
      <c r="T1296" s="209"/>
      <c r="U1296" s="192"/>
      <c r="Z1296" s="60"/>
      <c r="AA1296" s="60"/>
      <c r="AB1296" s="60"/>
      <c r="AC1296" s="60"/>
      <c r="AD1296" s="60"/>
      <c r="AE1296" s="60"/>
      <c r="AF1296" s="60"/>
      <c r="AG1296" s="60"/>
      <c r="AH1296" s="60"/>
      <c r="AI1296" s="60"/>
      <c r="AJ1296" s="60"/>
    </row>
    <row r="1297" spans="2:36" s="59" customFormat="1">
      <c r="B1297" s="203"/>
      <c r="D1297" s="186"/>
      <c r="F1297" s="209"/>
      <c r="G1297" s="209"/>
      <c r="H1297" s="209"/>
      <c r="I1297" s="209"/>
      <c r="J1297" s="209"/>
      <c r="K1297" s="191"/>
      <c r="L1297" s="363"/>
      <c r="M1297" s="366"/>
      <c r="N1297" s="366"/>
      <c r="O1297" s="365"/>
      <c r="P1297" s="365"/>
      <c r="Q1297" s="192"/>
      <c r="S1297" s="209"/>
      <c r="T1297" s="209"/>
      <c r="U1297" s="192"/>
      <c r="Z1297" s="60"/>
      <c r="AA1297" s="60"/>
      <c r="AB1297" s="60"/>
      <c r="AC1297" s="60"/>
      <c r="AD1297" s="60"/>
      <c r="AE1297" s="60"/>
      <c r="AF1297" s="60"/>
      <c r="AG1297" s="60"/>
      <c r="AH1297" s="60"/>
      <c r="AI1297" s="60"/>
      <c r="AJ1297" s="60"/>
    </row>
    <row r="1298" spans="2:36" s="59" customFormat="1">
      <c r="B1298" s="203"/>
      <c r="D1298" s="186"/>
      <c r="F1298" s="209"/>
      <c r="G1298" s="209"/>
      <c r="H1298" s="209"/>
      <c r="I1298" s="209"/>
      <c r="J1298" s="209"/>
      <c r="K1298" s="191"/>
      <c r="L1298" s="363"/>
      <c r="M1298" s="366"/>
      <c r="N1298" s="366"/>
      <c r="O1298" s="365"/>
      <c r="P1298" s="365"/>
      <c r="Q1298" s="192"/>
      <c r="S1298" s="209"/>
      <c r="T1298" s="209"/>
      <c r="U1298" s="192"/>
      <c r="Z1298" s="60"/>
      <c r="AA1298" s="60"/>
      <c r="AB1298" s="60"/>
      <c r="AC1298" s="60"/>
      <c r="AD1298" s="60"/>
      <c r="AE1298" s="60"/>
      <c r="AF1298" s="60"/>
      <c r="AG1298" s="60"/>
      <c r="AH1298" s="60"/>
      <c r="AI1298" s="60"/>
      <c r="AJ1298" s="60"/>
    </row>
    <row r="1299" spans="2:36" s="59" customFormat="1">
      <c r="B1299" s="203"/>
      <c r="D1299" s="186"/>
      <c r="F1299" s="209"/>
      <c r="G1299" s="209"/>
      <c r="H1299" s="209"/>
      <c r="I1299" s="209"/>
      <c r="J1299" s="209"/>
      <c r="K1299" s="191"/>
      <c r="L1299" s="363"/>
      <c r="M1299" s="366"/>
      <c r="N1299" s="366"/>
      <c r="O1299" s="365"/>
      <c r="P1299" s="365"/>
      <c r="Q1299" s="192"/>
      <c r="S1299" s="209"/>
      <c r="T1299" s="209"/>
      <c r="U1299" s="192"/>
      <c r="Z1299" s="60"/>
      <c r="AA1299" s="60"/>
      <c r="AB1299" s="60"/>
      <c r="AC1299" s="60"/>
      <c r="AD1299" s="60"/>
      <c r="AE1299" s="60"/>
      <c r="AF1299" s="60"/>
      <c r="AG1299" s="60"/>
      <c r="AH1299" s="60"/>
      <c r="AI1299" s="60"/>
      <c r="AJ1299" s="60"/>
    </row>
    <row r="1300" spans="2:36" s="59" customFormat="1">
      <c r="B1300" s="203"/>
      <c r="D1300" s="186"/>
      <c r="F1300" s="209"/>
      <c r="G1300" s="209"/>
      <c r="H1300" s="209"/>
      <c r="I1300" s="209"/>
      <c r="J1300" s="209"/>
      <c r="K1300" s="191"/>
      <c r="L1300" s="363"/>
      <c r="M1300" s="366"/>
      <c r="N1300" s="366"/>
      <c r="O1300" s="365"/>
      <c r="P1300" s="365"/>
      <c r="Q1300" s="192"/>
      <c r="S1300" s="209"/>
      <c r="T1300" s="209"/>
      <c r="U1300" s="192"/>
      <c r="Z1300" s="60"/>
      <c r="AA1300" s="60"/>
      <c r="AB1300" s="60"/>
      <c r="AC1300" s="60"/>
      <c r="AD1300" s="60"/>
      <c r="AE1300" s="60"/>
      <c r="AF1300" s="60"/>
      <c r="AG1300" s="60"/>
      <c r="AH1300" s="60"/>
      <c r="AI1300" s="60"/>
      <c r="AJ1300" s="60"/>
    </row>
    <row r="1301" spans="2:36" s="59" customFormat="1">
      <c r="B1301" s="203"/>
      <c r="D1301" s="186"/>
      <c r="F1301" s="209"/>
      <c r="G1301" s="209"/>
      <c r="H1301" s="209"/>
      <c r="I1301" s="209"/>
      <c r="J1301" s="209"/>
      <c r="K1301" s="191"/>
      <c r="L1301" s="363"/>
      <c r="M1301" s="366"/>
      <c r="N1301" s="366"/>
      <c r="O1301" s="365"/>
      <c r="P1301" s="365"/>
      <c r="Q1301" s="192"/>
      <c r="S1301" s="209"/>
      <c r="T1301" s="209"/>
      <c r="U1301" s="192"/>
      <c r="Z1301" s="60"/>
      <c r="AA1301" s="60"/>
      <c r="AB1301" s="60"/>
      <c r="AC1301" s="60"/>
      <c r="AD1301" s="60"/>
      <c r="AE1301" s="60"/>
      <c r="AF1301" s="60"/>
      <c r="AG1301" s="60"/>
      <c r="AH1301" s="60"/>
      <c r="AI1301" s="60"/>
      <c r="AJ1301" s="60"/>
    </row>
    <row r="1302" spans="2:36" s="59" customFormat="1">
      <c r="B1302" s="203"/>
      <c r="D1302" s="186"/>
      <c r="F1302" s="209"/>
      <c r="G1302" s="209"/>
      <c r="H1302" s="209"/>
      <c r="I1302" s="209"/>
      <c r="J1302" s="209"/>
      <c r="K1302" s="191"/>
      <c r="L1302" s="363"/>
      <c r="M1302" s="366"/>
      <c r="N1302" s="366"/>
      <c r="O1302" s="365"/>
      <c r="P1302" s="365"/>
      <c r="Q1302" s="192"/>
      <c r="S1302" s="209"/>
      <c r="T1302" s="209"/>
      <c r="U1302" s="192"/>
      <c r="Z1302" s="60"/>
      <c r="AA1302" s="60"/>
      <c r="AB1302" s="60"/>
      <c r="AC1302" s="60"/>
      <c r="AD1302" s="60"/>
      <c r="AE1302" s="60"/>
      <c r="AF1302" s="60"/>
      <c r="AG1302" s="60"/>
      <c r="AH1302" s="60"/>
      <c r="AI1302" s="60"/>
      <c r="AJ1302" s="60"/>
    </row>
    <row r="1303" spans="2:36" s="59" customFormat="1">
      <c r="B1303" s="203"/>
      <c r="D1303" s="186"/>
      <c r="F1303" s="209"/>
      <c r="G1303" s="209"/>
      <c r="H1303" s="209"/>
      <c r="I1303" s="209"/>
      <c r="J1303" s="209"/>
      <c r="K1303" s="191"/>
      <c r="L1303" s="363"/>
      <c r="M1303" s="366"/>
      <c r="N1303" s="366"/>
      <c r="O1303" s="365"/>
      <c r="P1303" s="365"/>
      <c r="Q1303" s="192"/>
      <c r="S1303" s="209"/>
      <c r="T1303" s="209"/>
      <c r="U1303" s="192"/>
      <c r="Z1303" s="60"/>
      <c r="AA1303" s="60"/>
      <c r="AB1303" s="60"/>
      <c r="AC1303" s="60"/>
      <c r="AD1303" s="60"/>
      <c r="AE1303" s="60"/>
      <c r="AF1303" s="60"/>
      <c r="AG1303" s="60"/>
      <c r="AH1303" s="60"/>
      <c r="AI1303" s="60"/>
      <c r="AJ1303" s="60"/>
    </row>
    <row r="1304" spans="2:36" s="59" customFormat="1">
      <c r="B1304" s="203"/>
      <c r="D1304" s="186"/>
      <c r="F1304" s="209"/>
      <c r="G1304" s="209"/>
      <c r="H1304" s="209"/>
      <c r="I1304" s="209"/>
      <c r="J1304" s="209"/>
      <c r="K1304" s="191"/>
      <c r="L1304" s="363"/>
      <c r="M1304" s="366"/>
      <c r="N1304" s="366"/>
      <c r="O1304" s="365"/>
      <c r="P1304" s="365"/>
      <c r="Q1304" s="192"/>
      <c r="S1304" s="209"/>
      <c r="T1304" s="209"/>
      <c r="U1304" s="192"/>
      <c r="Z1304" s="60"/>
      <c r="AA1304" s="60"/>
      <c r="AB1304" s="60"/>
      <c r="AC1304" s="60"/>
      <c r="AD1304" s="60"/>
      <c r="AE1304" s="60"/>
      <c r="AF1304" s="60"/>
      <c r="AG1304" s="60"/>
      <c r="AH1304" s="60"/>
      <c r="AI1304" s="60"/>
      <c r="AJ1304" s="60"/>
    </row>
    <row r="1305" spans="2:36" s="59" customFormat="1">
      <c r="B1305" s="203"/>
      <c r="D1305" s="186"/>
      <c r="F1305" s="209"/>
      <c r="G1305" s="209"/>
      <c r="H1305" s="209"/>
      <c r="I1305" s="209"/>
      <c r="J1305" s="209"/>
      <c r="K1305" s="191"/>
      <c r="L1305" s="363"/>
      <c r="M1305" s="366"/>
      <c r="N1305" s="366"/>
      <c r="O1305" s="365"/>
      <c r="P1305" s="365"/>
      <c r="Q1305" s="192"/>
      <c r="S1305" s="209"/>
      <c r="T1305" s="209"/>
      <c r="U1305" s="192"/>
      <c r="Z1305" s="60"/>
      <c r="AA1305" s="60"/>
      <c r="AB1305" s="60"/>
      <c r="AC1305" s="60"/>
      <c r="AD1305" s="60"/>
      <c r="AE1305" s="60"/>
      <c r="AF1305" s="60"/>
      <c r="AG1305" s="60"/>
      <c r="AH1305" s="60"/>
      <c r="AI1305" s="60"/>
      <c r="AJ1305" s="60"/>
    </row>
    <row r="1306" spans="2:36" s="59" customFormat="1">
      <c r="B1306" s="203"/>
      <c r="D1306" s="186"/>
      <c r="F1306" s="209"/>
      <c r="G1306" s="209"/>
      <c r="H1306" s="209"/>
      <c r="I1306" s="209"/>
      <c r="J1306" s="209"/>
      <c r="K1306" s="191"/>
      <c r="L1306" s="363"/>
      <c r="M1306" s="366"/>
      <c r="N1306" s="366"/>
      <c r="O1306" s="365"/>
      <c r="P1306" s="365"/>
      <c r="Q1306" s="192"/>
      <c r="S1306" s="209"/>
      <c r="T1306" s="209"/>
      <c r="U1306" s="192"/>
      <c r="Z1306" s="60"/>
      <c r="AA1306" s="60"/>
      <c r="AB1306" s="60"/>
      <c r="AC1306" s="60"/>
      <c r="AD1306" s="60"/>
      <c r="AE1306" s="60"/>
      <c r="AF1306" s="60"/>
      <c r="AG1306" s="60"/>
      <c r="AH1306" s="60"/>
      <c r="AI1306" s="60"/>
      <c r="AJ1306" s="60"/>
    </row>
    <row r="1307" spans="2:36" s="59" customFormat="1">
      <c r="B1307" s="203"/>
      <c r="D1307" s="186"/>
      <c r="F1307" s="209"/>
      <c r="G1307" s="209"/>
      <c r="H1307" s="209"/>
      <c r="I1307" s="209"/>
      <c r="J1307" s="209"/>
      <c r="K1307" s="191"/>
      <c r="L1307" s="363"/>
      <c r="M1307" s="366"/>
      <c r="N1307" s="366"/>
      <c r="O1307" s="365"/>
      <c r="P1307" s="365"/>
      <c r="Q1307" s="192"/>
      <c r="S1307" s="209"/>
      <c r="T1307" s="209"/>
      <c r="U1307" s="192"/>
      <c r="Z1307" s="60"/>
      <c r="AA1307" s="60"/>
      <c r="AB1307" s="60"/>
      <c r="AC1307" s="60"/>
      <c r="AD1307" s="60"/>
      <c r="AE1307" s="60"/>
      <c r="AF1307" s="60"/>
      <c r="AG1307" s="60"/>
      <c r="AH1307" s="60"/>
      <c r="AI1307" s="60"/>
      <c r="AJ1307" s="60"/>
    </row>
    <row r="1308" spans="2:36" s="59" customFormat="1">
      <c r="B1308" s="203"/>
      <c r="D1308" s="186"/>
      <c r="F1308" s="209"/>
      <c r="G1308" s="209"/>
      <c r="H1308" s="209"/>
      <c r="I1308" s="209"/>
      <c r="J1308" s="209"/>
      <c r="K1308" s="191"/>
      <c r="L1308" s="363"/>
      <c r="M1308" s="366"/>
      <c r="N1308" s="366"/>
      <c r="O1308" s="365"/>
      <c r="P1308" s="365"/>
      <c r="Q1308" s="192"/>
      <c r="S1308" s="209"/>
      <c r="T1308" s="209"/>
      <c r="U1308" s="192"/>
      <c r="Z1308" s="60"/>
      <c r="AA1308" s="60"/>
      <c r="AB1308" s="60"/>
      <c r="AC1308" s="60"/>
      <c r="AD1308" s="60"/>
      <c r="AE1308" s="60"/>
      <c r="AF1308" s="60"/>
      <c r="AG1308" s="60"/>
      <c r="AH1308" s="60"/>
      <c r="AI1308" s="60"/>
      <c r="AJ1308" s="60"/>
    </row>
    <row r="1309" spans="2:36" s="59" customFormat="1">
      <c r="B1309" s="203"/>
      <c r="D1309" s="186"/>
      <c r="F1309" s="209"/>
      <c r="G1309" s="209"/>
      <c r="H1309" s="209"/>
      <c r="I1309" s="209"/>
      <c r="J1309" s="209"/>
      <c r="K1309" s="191"/>
      <c r="L1309" s="363"/>
      <c r="M1309" s="366"/>
      <c r="N1309" s="366"/>
      <c r="O1309" s="365"/>
      <c r="P1309" s="365"/>
      <c r="Q1309" s="192"/>
      <c r="S1309" s="209"/>
      <c r="T1309" s="209"/>
      <c r="U1309" s="192"/>
      <c r="Z1309" s="60"/>
      <c r="AA1309" s="60"/>
      <c r="AB1309" s="60"/>
      <c r="AC1309" s="60"/>
      <c r="AD1309" s="60"/>
      <c r="AE1309" s="60"/>
      <c r="AF1309" s="60"/>
      <c r="AG1309" s="60"/>
      <c r="AH1309" s="60"/>
      <c r="AI1309" s="60"/>
      <c r="AJ1309" s="60"/>
    </row>
    <row r="1310" spans="2:36" s="59" customFormat="1">
      <c r="B1310" s="203"/>
      <c r="D1310" s="186"/>
      <c r="F1310" s="209"/>
      <c r="G1310" s="209"/>
      <c r="H1310" s="209"/>
      <c r="I1310" s="209"/>
      <c r="J1310" s="209"/>
      <c r="K1310" s="191"/>
      <c r="L1310" s="363"/>
      <c r="M1310" s="366"/>
      <c r="N1310" s="366"/>
      <c r="O1310" s="365"/>
      <c r="P1310" s="365"/>
      <c r="Q1310" s="192"/>
      <c r="S1310" s="209"/>
      <c r="T1310" s="209"/>
      <c r="U1310" s="192"/>
      <c r="Z1310" s="60"/>
      <c r="AA1310" s="60"/>
      <c r="AB1310" s="60"/>
      <c r="AC1310" s="60"/>
      <c r="AD1310" s="60"/>
      <c r="AE1310" s="60"/>
      <c r="AF1310" s="60"/>
      <c r="AG1310" s="60"/>
      <c r="AH1310" s="60"/>
      <c r="AI1310" s="60"/>
      <c r="AJ1310" s="60"/>
    </row>
    <row r="1311" spans="2:36" s="59" customFormat="1">
      <c r="B1311" s="203"/>
      <c r="D1311" s="186"/>
      <c r="F1311" s="209"/>
      <c r="G1311" s="209"/>
      <c r="H1311" s="209"/>
      <c r="I1311" s="209"/>
      <c r="J1311" s="209"/>
      <c r="K1311" s="191"/>
      <c r="L1311" s="363"/>
      <c r="M1311" s="366"/>
      <c r="N1311" s="366"/>
      <c r="O1311" s="365"/>
      <c r="P1311" s="365"/>
      <c r="Q1311" s="192"/>
      <c r="S1311" s="209"/>
      <c r="T1311" s="209"/>
      <c r="U1311" s="192"/>
      <c r="Z1311" s="60"/>
      <c r="AA1311" s="60"/>
      <c r="AB1311" s="60"/>
      <c r="AC1311" s="60"/>
      <c r="AD1311" s="60"/>
      <c r="AE1311" s="60"/>
      <c r="AF1311" s="60"/>
      <c r="AG1311" s="60"/>
      <c r="AH1311" s="60"/>
      <c r="AI1311" s="60"/>
      <c r="AJ1311" s="60"/>
    </row>
    <row r="1312" spans="2:36" s="59" customFormat="1">
      <c r="B1312" s="203"/>
      <c r="D1312" s="186"/>
      <c r="F1312" s="209"/>
      <c r="G1312" s="209"/>
      <c r="H1312" s="209"/>
      <c r="I1312" s="209"/>
      <c r="J1312" s="209"/>
      <c r="K1312" s="191"/>
      <c r="L1312" s="363"/>
      <c r="M1312" s="366"/>
      <c r="N1312" s="366"/>
      <c r="O1312" s="365"/>
      <c r="P1312" s="365"/>
      <c r="Q1312" s="192"/>
      <c r="S1312" s="209"/>
      <c r="T1312" s="209"/>
      <c r="U1312" s="192"/>
      <c r="Z1312" s="60"/>
      <c r="AA1312" s="60"/>
      <c r="AB1312" s="60"/>
      <c r="AC1312" s="60"/>
      <c r="AD1312" s="60"/>
      <c r="AE1312" s="60"/>
      <c r="AF1312" s="60"/>
      <c r="AG1312" s="60"/>
      <c r="AH1312" s="60"/>
      <c r="AI1312" s="60"/>
      <c r="AJ1312" s="60"/>
    </row>
    <row r="1313" spans="2:36" s="59" customFormat="1">
      <c r="B1313" s="203"/>
      <c r="D1313" s="186"/>
      <c r="F1313" s="209"/>
      <c r="G1313" s="209"/>
      <c r="H1313" s="209"/>
      <c r="I1313" s="209"/>
      <c r="J1313" s="209"/>
      <c r="K1313" s="191"/>
      <c r="L1313" s="363"/>
      <c r="M1313" s="366"/>
      <c r="N1313" s="366"/>
      <c r="O1313" s="365"/>
      <c r="P1313" s="365"/>
      <c r="Q1313" s="192"/>
      <c r="S1313" s="209"/>
      <c r="T1313" s="209"/>
      <c r="U1313" s="192"/>
      <c r="Z1313" s="60"/>
      <c r="AA1313" s="60"/>
      <c r="AB1313" s="60"/>
      <c r="AC1313" s="60"/>
      <c r="AD1313" s="60"/>
      <c r="AE1313" s="60"/>
      <c r="AF1313" s="60"/>
      <c r="AG1313" s="60"/>
      <c r="AH1313" s="60"/>
      <c r="AI1313" s="60"/>
      <c r="AJ1313" s="60"/>
    </row>
    <row r="1314" spans="2:36" s="59" customFormat="1">
      <c r="B1314" s="203"/>
      <c r="D1314" s="186"/>
      <c r="F1314" s="209"/>
      <c r="G1314" s="209"/>
      <c r="H1314" s="209"/>
      <c r="I1314" s="209"/>
      <c r="J1314" s="209"/>
      <c r="K1314" s="191"/>
      <c r="L1314" s="363"/>
      <c r="M1314" s="366"/>
      <c r="N1314" s="366"/>
      <c r="O1314" s="365"/>
      <c r="P1314" s="365"/>
      <c r="Q1314" s="192"/>
      <c r="S1314" s="209"/>
      <c r="T1314" s="209"/>
      <c r="U1314" s="192"/>
      <c r="Z1314" s="60"/>
      <c r="AA1314" s="60"/>
      <c r="AB1314" s="60"/>
      <c r="AC1314" s="60"/>
      <c r="AD1314" s="60"/>
      <c r="AE1314" s="60"/>
      <c r="AF1314" s="60"/>
      <c r="AG1314" s="60"/>
      <c r="AH1314" s="60"/>
      <c r="AI1314" s="60"/>
      <c r="AJ1314" s="60"/>
    </row>
    <row r="1315" spans="2:36" s="59" customFormat="1">
      <c r="B1315" s="203"/>
      <c r="D1315" s="186"/>
      <c r="F1315" s="209"/>
      <c r="G1315" s="209"/>
      <c r="H1315" s="209"/>
      <c r="I1315" s="209"/>
      <c r="J1315" s="209"/>
      <c r="K1315" s="191"/>
      <c r="L1315" s="363"/>
      <c r="M1315" s="366"/>
      <c r="N1315" s="366"/>
      <c r="O1315" s="365"/>
      <c r="P1315" s="365"/>
      <c r="Q1315" s="192"/>
      <c r="S1315" s="209"/>
      <c r="T1315" s="209"/>
      <c r="U1315" s="192"/>
      <c r="Z1315" s="60"/>
      <c r="AA1315" s="60"/>
      <c r="AB1315" s="60"/>
      <c r="AC1315" s="60"/>
      <c r="AD1315" s="60"/>
      <c r="AE1315" s="60"/>
      <c r="AF1315" s="60"/>
      <c r="AG1315" s="60"/>
      <c r="AH1315" s="60"/>
      <c r="AI1315" s="60"/>
      <c r="AJ1315" s="60"/>
    </row>
    <row r="1316" spans="2:36" s="59" customFormat="1">
      <c r="B1316" s="203"/>
      <c r="D1316" s="186"/>
      <c r="F1316" s="209"/>
      <c r="G1316" s="209"/>
      <c r="H1316" s="209"/>
      <c r="I1316" s="209"/>
      <c r="J1316" s="209"/>
      <c r="K1316" s="191"/>
      <c r="L1316" s="363"/>
      <c r="M1316" s="366"/>
      <c r="N1316" s="366"/>
      <c r="O1316" s="365"/>
      <c r="P1316" s="365"/>
      <c r="Q1316" s="192"/>
      <c r="S1316" s="209"/>
      <c r="T1316" s="209"/>
      <c r="U1316" s="192"/>
      <c r="Z1316" s="60"/>
      <c r="AA1316" s="60"/>
      <c r="AB1316" s="60"/>
      <c r="AC1316" s="60"/>
      <c r="AD1316" s="60"/>
      <c r="AE1316" s="60"/>
      <c r="AF1316" s="60"/>
      <c r="AG1316" s="60"/>
      <c r="AH1316" s="60"/>
      <c r="AI1316" s="60"/>
      <c r="AJ1316" s="60"/>
    </row>
    <row r="1317" spans="2:36" s="59" customFormat="1">
      <c r="B1317" s="203"/>
      <c r="D1317" s="186"/>
      <c r="F1317" s="209"/>
      <c r="G1317" s="209"/>
      <c r="H1317" s="209"/>
      <c r="I1317" s="209"/>
      <c r="J1317" s="209"/>
      <c r="K1317" s="191"/>
      <c r="L1317" s="363"/>
      <c r="M1317" s="366"/>
      <c r="N1317" s="366"/>
      <c r="O1317" s="365"/>
      <c r="P1317" s="365"/>
      <c r="Q1317" s="192"/>
      <c r="S1317" s="209"/>
      <c r="T1317" s="209"/>
      <c r="U1317" s="192"/>
      <c r="Z1317" s="60"/>
      <c r="AA1317" s="60"/>
      <c r="AB1317" s="60"/>
      <c r="AC1317" s="60"/>
      <c r="AD1317" s="60"/>
      <c r="AE1317" s="60"/>
      <c r="AF1317" s="60"/>
      <c r="AG1317" s="60"/>
      <c r="AH1317" s="60"/>
      <c r="AI1317" s="60"/>
      <c r="AJ1317" s="60"/>
    </row>
    <row r="1318" spans="2:36" s="59" customFormat="1">
      <c r="B1318" s="203"/>
      <c r="D1318" s="186"/>
      <c r="F1318" s="209"/>
      <c r="G1318" s="209"/>
      <c r="H1318" s="209"/>
      <c r="I1318" s="209"/>
      <c r="J1318" s="209"/>
      <c r="K1318" s="191"/>
      <c r="L1318" s="363"/>
      <c r="M1318" s="366"/>
      <c r="N1318" s="366"/>
      <c r="O1318" s="365"/>
      <c r="P1318" s="365"/>
      <c r="Q1318" s="192"/>
      <c r="S1318" s="209"/>
      <c r="T1318" s="209"/>
      <c r="U1318" s="192"/>
      <c r="Z1318" s="60"/>
      <c r="AA1318" s="60"/>
      <c r="AB1318" s="60"/>
      <c r="AC1318" s="60"/>
      <c r="AD1318" s="60"/>
      <c r="AE1318" s="60"/>
      <c r="AF1318" s="60"/>
      <c r="AG1318" s="60"/>
      <c r="AH1318" s="60"/>
      <c r="AI1318" s="60"/>
      <c r="AJ1318" s="60"/>
    </row>
    <row r="1319" spans="2:36" s="59" customFormat="1">
      <c r="B1319" s="203"/>
      <c r="D1319" s="186"/>
      <c r="F1319" s="209"/>
      <c r="G1319" s="209"/>
      <c r="H1319" s="209"/>
      <c r="I1319" s="209"/>
      <c r="J1319" s="209"/>
      <c r="K1319" s="191"/>
      <c r="L1319" s="363"/>
      <c r="M1319" s="366"/>
      <c r="N1319" s="366"/>
      <c r="O1319" s="365"/>
      <c r="P1319" s="365"/>
      <c r="Q1319" s="192"/>
      <c r="S1319" s="209"/>
      <c r="T1319" s="209"/>
      <c r="U1319" s="192"/>
      <c r="Z1319" s="60"/>
      <c r="AA1319" s="60"/>
      <c r="AB1319" s="60"/>
      <c r="AC1319" s="60"/>
      <c r="AD1319" s="60"/>
      <c r="AE1319" s="60"/>
      <c r="AF1319" s="60"/>
      <c r="AG1319" s="60"/>
      <c r="AH1319" s="60"/>
      <c r="AI1319" s="60"/>
      <c r="AJ1319" s="60"/>
    </row>
    <row r="1320" spans="2:36" s="59" customFormat="1">
      <c r="B1320" s="203"/>
      <c r="D1320" s="186"/>
      <c r="F1320" s="209"/>
      <c r="G1320" s="209"/>
      <c r="H1320" s="209"/>
      <c r="I1320" s="209"/>
      <c r="J1320" s="209"/>
      <c r="K1320" s="191"/>
      <c r="L1320" s="363"/>
      <c r="M1320" s="366"/>
      <c r="N1320" s="366"/>
      <c r="O1320" s="365"/>
      <c r="P1320" s="365"/>
      <c r="Q1320" s="192"/>
      <c r="S1320" s="209"/>
      <c r="T1320" s="209"/>
      <c r="U1320" s="192"/>
      <c r="Z1320" s="60"/>
      <c r="AA1320" s="60"/>
      <c r="AB1320" s="60"/>
      <c r="AC1320" s="60"/>
      <c r="AD1320" s="60"/>
      <c r="AE1320" s="60"/>
      <c r="AF1320" s="60"/>
      <c r="AG1320" s="60"/>
      <c r="AH1320" s="60"/>
      <c r="AI1320" s="60"/>
      <c r="AJ1320" s="60"/>
    </row>
    <row r="1321" spans="2:36" s="59" customFormat="1">
      <c r="B1321" s="203"/>
      <c r="D1321" s="186"/>
      <c r="F1321" s="209"/>
      <c r="G1321" s="209"/>
      <c r="H1321" s="209"/>
      <c r="I1321" s="209"/>
      <c r="J1321" s="209"/>
      <c r="K1321" s="191"/>
      <c r="L1321" s="363"/>
      <c r="M1321" s="366"/>
      <c r="N1321" s="366"/>
      <c r="O1321" s="365"/>
      <c r="P1321" s="365"/>
      <c r="Q1321" s="192"/>
      <c r="S1321" s="209"/>
      <c r="T1321" s="209"/>
      <c r="U1321" s="192"/>
      <c r="Z1321" s="60"/>
      <c r="AA1321" s="60"/>
      <c r="AB1321" s="60"/>
      <c r="AC1321" s="60"/>
      <c r="AD1321" s="60"/>
      <c r="AE1321" s="60"/>
      <c r="AF1321" s="60"/>
      <c r="AG1321" s="60"/>
      <c r="AH1321" s="60"/>
      <c r="AI1321" s="60"/>
      <c r="AJ1321" s="60"/>
    </row>
    <row r="1322" spans="2:36" s="59" customFormat="1">
      <c r="B1322" s="203"/>
      <c r="D1322" s="186"/>
      <c r="F1322" s="209"/>
      <c r="G1322" s="209"/>
      <c r="H1322" s="209"/>
      <c r="I1322" s="209"/>
      <c r="J1322" s="209"/>
      <c r="K1322" s="191"/>
      <c r="L1322" s="363"/>
      <c r="M1322" s="366"/>
      <c r="N1322" s="366"/>
      <c r="O1322" s="365"/>
      <c r="P1322" s="365"/>
      <c r="Q1322" s="192"/>
      <c r="S1322" s="209"/>
      <c r="T1322" s="209"/>
      <c r="U1322" s="192"/>
      <c r="Z1322" s="60"/>
      <c r="AA1322" s="60"/>
      <c r="AB1322" s="60"/>
      <c r="AC1322" s="60"/>
      <c r="AD1322" s="60"/>
      <c r="AE1322" s="60"/>
      <c r="AF1322" s="60"/>
      <c r="AG1322" s="60"/>
      <c r="AH1322" s="60"/>
      <c r="AI1322" s="60"/>
      <c r="AJ1322" s="60"/>
    </row>
    <row r="1323" spans="2:36" s="59" customFormat="1">
      <c r="B1323" s="203"/>
      <c r="D1323" s="186"/>
      <c r="F1323" s="209"/>
      <c r="G1323" s="209"/>
      <c r="H1323" s="209"/>
      <c r="I1323" s="209"/>
      <c r="J1323" s="209"/>
      <c r="K1323" s="191"/>
      <c r="L1323" s="363"/>
      <c r="M1323" s="366"/>
      <c r="N1323" s="366"/>
      <c r="O1323" s="365"/>
      <c r="P1323" s="365"/>
      <c r="Q1323" s="192"/>
      <c r="S1323" s="209"/>
      <c r="T1323" s="209"/>
      <c r="U1323" s="192"/>
      <c r="Z1323" s="60"/>
      <c r="AA1323" s="60"/>
      <c r="AB1323" s="60"/>
      <c r="AC1323" s="60"/>
      <c r="AD1323" s="60"/>
      <c r="AE1323" s="60"/>
      <c r="AF1323" s="60"/>
      <c r="AG1323" s="60"/>
      <c r="AH1323" s="60"/>
      <c r="AI1323" s="60"/>
      <c r="AJ1323" s="60"/>
    </row>
    <row r="1324" spans="2:36" s="59" customFormat="1">
      <c r="B1324" s="203"/>
      <c r="D1324" s="186"/>
      <c r="F1324" s="209"/>
      <c r="G1324" s="209"/>
      <c r="H1324" s="209"/>
      <c r="I1324" s="209"/>
      <c r="J1324" s="209"/>
      <c r="K1324" s="191"/>
      <c r="L1324" s="363"/>
      <c r="M1324" s="366"/>
      <c r="N1324" s="366"/>
      <c r="O1324" s="365"/>
      <c r="P1324" s="365"/>
      <c r="Q1324" s="192"/>
      <c r="S1324" s="209"/>
      <c r="T1324" s="209"/>
      <c r="U1324" s="192"/>
      <c r="Z1324" s="60"/>
      <c r="AA1324" s="60"/>
      <c r="AB1324" s="60"/>
      <c r="AC1324" s="60"/>
      <c r="AD1324" s="60"/>
      <c r="AE1324" s="60"/>
      <c r="AF1324" s="60"/>
      <c r="AG1324" s="60"/>
      <c r="AH1324" s="60"/>
      <c r="AI1324" s="60"/>
      <c r="AJ1324" s="60"/>
    </row>
    <row r="1325" spans="2:36" s="59" customFormat="1">
      <c r="B1325" s="203"/>
      <c r="D1325" s="186"/>
      <c r="F1325" s="209"/>
      <c r="G1325" s="209"/>
      <c r="H1325" s="209"/>
      <c r="I1325" s="209"/>
      <c r="J1325" s="209"/>
      <c r="K1325" s="191"/>
      <c r="L1325" s="363"/>
      <c r="M1325" s="366"/>
      <c r="N1325" s="366"/>
      <c r="O1325" s="365"/>
      <c r="P1325" s="365"/>
      <c r="Q1325" s="192"/>
      <c r="S1325" s="209"/>
      <c r="T1325" s="209"/>
      <c r="U1325" s="192"/>
      <c r="Z1325" s="60"/>
      <c r="AA1325" s="60"/>
      <c r="AB1325" s="60"/>
      <c r="AC1325" s="60"/>
      <c r="AD1325" s="60"/>
      <c r="AE1325" s="60"/>
      <c r="AF1325" s="60"/>
      <c r="AG1325" s="60"/>
      <c r="AH1325" s="60"/>
      <c r="AI1325" s="60"/>
      <c r="AJ1325" s="60"/>
    </row>
    <row r="1326" spans="2:36" s="59" customFormat="1">
      <c r="B1326" s="203"/>
      <c r="D1326" s="186"/>
      <c r="F1326" s="209"/>
      <c r="G1326" s="209"/>
      <c r="H1326" s="209"/>
      <c r="I1326" s="209"/>
      <c r="J1326" s="209"/>
      <c r="K1326" s="191"/>
      <c r="L1326" s="363"/>
      <c r="M1326" s="366"/>
      <c r="N1326" s="366"/>
      <c r="O1326" s="365"/>
      <c r="P1326" s="365"/>
      <c r="Q1326" s="192"/>
      <c r="S1326" s="209"/>
      <c r="T1326" s="209"/>
      <c r="U1326" s="192"/>
      <c r="Z1326" s="60"/>
      <c r="AA1326" s="60"/>
      <c r="AB1326" s="60"/>
      <c r="AC1326" s="60"/>
      <c r="AD1326" s="60"/>
      <c r="AE1326" s="60"/>
      <c r="AF1326" s="60"/>
      <c r="AG1326" s="60"/>
      <c r="AH1326" s="60"/>
      <c r="AI1326" s="60"/>
      <c r="AJ1326" s="60"/>
    </row>
    <row r="1327" spans="2:36" s="59" customFormat="1">
      <c r="B1327" s="203"/>
      <c r="D1327" s="186"/>
      <c r="F1327" s="209"/>
      <c r="G1327" s="209"/>
      <c r="H1327" s="209"/>
      <c r="I1327" s="209"/>
      <c r="J1327" s="209"/>
      <c r="K1327" s="191"/>
      <c r="L1327" s="363"/>
      <c r="M1327" s="366"/>
      <c r="N1327" s="366"/>
      <c r="O1327" s="365"/>
      <c r="P1327" s="365"/>
      <c r="Q1327" s="192"/>
      <c r="S1327" s="209"/>
      <c r="T1327" s="209"/>
      <c r="U1327" s="192"/>
      <c r="Z1327" s="60"/>
      <c r="AA1327" s="60"/>
      <c r="AB1327" s="60"/>
      <c r="AC1327" s="60"/>
      <c r="AD1327" s="60"/>
      <c r="AE1327" s="60"/>
      <c r="AF1327" s="60"/>
      <c r="AG1327" s="60"/>
      <c r="AH1327" s="60"/>
      <c r="AI1327" s="60"/>
      <c r="AJ1327" s="60"/>
    </row>
    <row r="1328" spans="2:36" s="59" customFormat="1">
      <c r="B1328" s="203"/>
      <c r="D1328" s="186"/>
      <c r="F1328" s="209"/>
      <c r="G1328" s="209"/>
      <c r="H1328" s="209"/>
      <c r="I1328" s="209"/>
      <c r="J1328" s="209"/>
      <c r="K1328" s="191"/>
      <c r="L1328" s="363"/>
      <c r="M1328" s="366"/>
      <c r="N1328" s="366"/>
      <c r="O1328" s="365"/>
      <c r="P1328" s="365"/>
      <c r="Q1328" s="192"/>
      <c r="S1328" s="209"/>
      <c r="T1328" s="209"/>
      <c r="U1328" s="192"/>
      <c r="Z1328" s="60"/>
      <c r="AA1328" s="60"/>
      <c r="AB1328" s="60"/>
      <c r="AC1328" s="60"/>
      <c r="AD1328" s="60"/>
      <c r="AE1328" s="60"/>
      <c r="AF1328" s="60"/>
      <c r="AG1328" s="60"/>
      <c r="AH1328" s="60"/>
      <c r="AI1328" s="60"/>
      <c r="AJ1328" s="60"/>
    </row>
    <row r="1329" spans="2:36" s="59" customFormat="1">
      <c r="B1329" s="203"/>
      <c r="D1329" s="186"/>
      <c r="F1329" s="209"/>
      <c r="G1329" s="209"/>
      <c r="H1329" s="209"/>
      <c r="I1329" s="209"/>
      <c r="J1329" s="209"/>
      <c r="K1329" s="191"/>
      <c r="L1329" s="363"/>
      <c r="M1329" s="366"/>
      <c r="N1329" s="366"/>
      <c r="O1329" s="365"/>
      <c r="P1329" s="365"/>
      <c r="Q1329" s="192"/>
      <c r="S1329" s="209"/>
      <c r="T1329" s="209"/>
      <c r="U1329" s="192"/>
      <c r="Z1329" s="60"/>
      <c r="AA1329" s="60"/>
      <c r="AB1329" s="60"/>
      <c r="AC1329" s="60"/>
      <c r="AD1329" s="60"/>
      <c r="AE1329" s="60"/>
      <c r="AF1329" s="60"/>
      <c r="AG1329" s="60"/>
      <c r="AH1329" s="60"/>
      <c r="AI1329" s="60"/>
      <c r="AJ1329" s="60"/>
    </row>
    <row r="1330" spans="2:36" s="59" customFormat="1">
      <c r="B1330" s="203"/>
      <c r="D1330" s="186"/>
      <c r="F1330" s="209"/>
      <c r="G1330" s="209"/>
      <c r="H1330" s="209"/>
      <c r="I1330" s="209"/>
      <c r="J1330" s="209"/>
      <c r="K1330" s="191"/>
      <c r="L1330" s="363"/>
      <c r="M1330" s="366"/>
      <c r="N1330" s="366"/>
      <c r="O1330" s="365"/>
      <c r="P1330" s="365"/>
      <c r="Q1330" s="192"/>
      <c r="S1330" s="209"/>
      <c r="T1330" s="209"/>
      <c r="U1330" s="192"/>
      <c r="Z1330" s="60"/>
      <c r="AA1330" s="60"/>
      <c r="AB1330" s="60"/>
      <c r="AC1330" s="60"/>
      <c r="AD1330" s="60"/>
      <c r="AE1330" s="60"/>
      <c r="AF1330" s="60"/>
      <c r="AG1330" s="60"/>
      <c r="AH1330" s="60"/>
      <c r="AI1330" s="60"/>
      <c r="AJ1330" s="60"/>
    </row>
    <row r="1331" spans="2:36" s="59" customFormat="1">
      <c r="B1331" s="203"/>
      <c r="D1331" s="186"/>
      <c r="F1331" s="209"/>
      <c r="G1331" s="209"/>
      <c r="H1331" s="209"/>
      <c r="I1331" s="209"/>
      <c r="J1331" s="209"/>
      <c r="K1331" s="191"/>
      <c r="L1331" s="363"/>
      <c r="M1331" s="366"/>
      <c r="N1331" s="366"/>
      <c r="O1331" s="365"/>
      <c r="P1331" s="365"/>
      <c r="Q1331" s="192"/>
      <c r="S1331" s="209"/>
      <c r="T1331" s="209"/>
      <c r="U1331" s="192"/>
      <c r="Z1331" s="60"/>
      <c r="AA1331" s="60"/>
      <c r="AB1331" s="60"/>
      <c r="AC1331" s="60"/>
      <c r="AD1331" s="60"/>
      <c r="AE1331" s="60"/>
      <c r="AF1331" s="60"/>
      <c r="AG1331" s="60"/>
      <c r="AH1331" s="60"/>
      <c r="AI1331" s="60"/>
      <c r="AJ1331" s="60"/>
    </row>
    <row r="1332" spans="2:36" s="59" customFormat="1">
      <c r="B1332" s="203"/>
      <c r="D1332" s="186"/>
      <c r="F1332" s="209"/>
      <c r="G1332" s="209"/>
      <c r="H1332" s="209"/>
      <c r="I1332" s="209"/>
      <c r="J1332" s="209"/>
      <c r="K1332" s="191"/>
      <c r="L1332" s="363"/>
      <c r="M1332" s="366"/>
      <c r="N1332" s="366"/>
      <c r="O1332" s="365"/>
      <c r="P1332" s="365"/>
      <c r="Q1332" s="192"/>
      <c r="S1332" s="209"/>
      <c r="T1332" s="209"/>
      <c r="U1332" s="192"/>
      <c r="Z1332" s="60"/>
      <c r="AA1332" s="60"/>
      <c r="AB1332" s="60"/>
      <c r="AC1332" s="60"/>
      <c r="AD1332" s="60"/>
      <c r="AE1332" s="60"/>
      <c r="AF1332" s="60"/>
      <c r="AG1332" s="60"/>
      <c r="AH1332" s="60"/>
      <c r="AI1332" s="60"/>
      <c r="AJ1332" s="60"/>
    </row>
    <row r="1333" spans="2:36" s="59" customFormat="1">
      <c r="B1333" s="203"/>
      <c r="D1333" s="186"/>
      <c r="F1333" s="209"/>
      <c r="G1333" s="209"/>
      <c r="H1333" s="209"/>
      <c r="I1333" s="209"/>
      <c r="J1333" s="209"/>
      <c r="K1333" s="191"/>
      <c r="L1333" s="363"/>
      <c r="M1333" s="366"/>
      <c r="N1333" s="366"/>
      <c r="O1333" s="365"/>
      <c r="P1333" s="365"/>
      <c r="Q1333" s="192"/>
      <c r="S1333" s="209"/>
      <c r="T1333" s="209"/>
      <c r="U1333" s="192"/>
      <c r="Z1333" s="60"/>
      <c r="AA1333" s="60"/>
      <c r="AB1333" s="60"/>
      <c r="AC1333" s="60"/>
      <c r="AD1333" s="60"/>
      <c r="AE1333" s="60"/>
      <c r="AF1333" s="60"/>
      <c r="AG1333" s="60"/>
      <c r="AH1333" s="60"/>
      <c r="AI1333" s="60"/>
      <c r="AJ1333" s="60"/>
    </row>
    <row r="1334" spans="2:36" s="59" customFormat="1">
      <c r="B1334" s="203"/>
      <c r="D1334" s="186"/>
      <c r="F1334" s="209"/>
      <c r="G1334" s="209"/>
      <c r="H1334" s="209"/>
      <c r="I1334" s="209"/>
      <c r="J1334" s="209"/>
      <c r="K1334" s="191"/>
      <c r="L1334" s="363"/>
      <c r="M1334" s="366"/>
      <c r="N1334" s="366"/>
      <c r="O1334" s="365"/>
      <c r="P1334" s="365"/>
      <c r="Q1334" s="192"/>
      <c r="S1334" s="209"/>
      <c r="T1334" s="209"/>
      <c r="U1334" s="192"/>
      <c r="Z1334" s="60"/>
      <c r="AA1334" s="60"/>
      <c r="AB1334" s="60"/>
      <c r="AC1334" s="60"/>
      <c r="AD1334" s="60"/>
      <c r="AE1334" s="60"/>
      <c r="AF1334" s="60"/>
      <c r="AG1334" s="60"/>
      <c r="AH1334" s="60"/>
      <c r="AI1334" s="60"/>
      <c r="AJ1334" s="60"/>
    </row>
    <row r="1335" spans="2:36" s="59" customFormat="1">
      <c r="B1335" s="203"/>
      <c r="D1335" s="186"/>
      <c r="F1335" s="209"/>
      <c r="G1335" s="209"/>
      <c r="H1335" s="209"/>
      <c r="I1335" s="209"/>
      <c r="J1335" s="209"/>
      <c r="K1335" s="191"/>
      <c r="L1335" s="363"/>
      <c r="M1335" s="366"/>
      <c r="N1335" s="366"/>
      <c r="O1335" s="365"/>
      <c r="P1335" s="365"/>
      <c r="Q1335" s="192"/>
      <c r="S1335" s="209"/>
      <c r="T1335" s="209"/>
      <c r="U1335" s="192"/>
      <c r="Z1335" s="60"/>
      <c r="AA1335" s="60"/>
      <c r="AB1335" s="60"/>
      <c r="AC1335" s="60"/>
      <c r="AD1335" s="60"/>
      <c r="AE1335" s="60"/>
      <c r="AF1335" s="60"/>
      <c r="AG1335" s="60"/>
      <c r="AH1335" s="60"/>
      <c r="AI1335" s="60"/>
      <c r="AJ1335" s="60"/>
    </row>
    <row r="1336" spans="2:36" s="59" customFormat="1">
      <c r="B1336" s="203"/>
      <c r="D1336" s="186"/>
      <c r="F1336" s="209"/>
      <c r="G1336" s="209"/>
      <c r="H1336" s="209"/>
      <c r="I1336" s="209"/>
      <c r="J1336" s="209"/>
      <c r="K1336" s="191"/>
      <c r="L1336" s="363"/>
      <c r="M1336" s="366"/>
      <c r="N1336" s="366"/>
      <c r="O1336" s="365"/>
      <c r="P1336" s="365"/>
      <c r="Q1336" s="192"/>
      <c r="S1336" s="209"/>
      <c r="T1336" s="209"/>
      <c r="U1336" s="192"/>
      <c r="Z1336" s="60"/>
      <c r="AA1336" s="60"/>
      <c r="AB1336" s="60"/>
      <c r="AC1336" s="60"/>
      <c r="AD1336" s="60"/>
      <c r="AE1336" s="60"/>
      <c r="AF1336" s="60"/>
      <c r="AG1336" s="60"/>
      <c r="AH1336" s="60"/>
      <c r="AI1336" s="60"/>
      <c r="AJ1336" s="60"/>
    </row>
    <row r="1337" spans="2:36" s="59" customFormat="1">
      <c r="B1337" s="203"/>
      <c r="D1337" s="186"/>
      <c r="F1337" s="209"/>
      <c r="G1337" s="209"/>
      <c r="H1337" s="209"/>
      <c r="I1337" s="209"/>
      <c r="J1337" s="209"/>
      <c r="K1337" s="191"/>
      <c r="L1337" s="363"/>
      <c r="M1337" s="366"/>
      <c r="N1337" s="366"/>
      <c r="O1337" s="365"/>
      <c r="P1337" s="365"/>
      <c r="Q1337" s="192"/>
      <c r="S1337" s="209"/>
      <c r="T1337" s="209"/>
      <c r="U1337" s="192"/>
      <c r="Z1337" s="60"/>
      <c r="AA1337" s="60"/>
      <c r="AB1337" s="60"/>
      <c r="AC1337" s="60"/>
      <c r="AD1337" s="60"/>
      <c r="AE1337" s="60"/>
      <c r="AF1337" s="60"/>
      <c r="AG1337" s="60"/>
      <c r="AH1337" s="60"/>
      <c r="AI1337" s="60"/>
      <c r="AJ1337" s="60"/>
    </row>
    <row r="1338" spans="2:36" s="59" customFormat="1">
      <c r="B1338" s="203"/>
      <c r="D1338" s="186"/>
      <c r="F1338" s="209"/>
      <c r="G1338" s="209"/>
      <c r="H1338" s="209"/>
      <c r="I1338" s="209"/>
      <c r="J1338" s="209"/>
      <c r="K1338" s="191"/>
      <c r="L1338" s="363"/>
      <c r="M1338" s="366"/>
      <c r="N1338" s="366"/>
      <c r="O1338" s="365"/>
      <c r="P1338" s="365"/>
      <c r="Q1338" s="192"/>
      <c r="S1338" s="209"/>
      <c r="T1338" s="209"/>
      <c r="U1338" s="192"/>
      <c r="Z1338" s="60"/>
      <c r="AA1338" s="60"/>
      <c r="AB1338" s="60"/>
      <c r="AC1338" s="60"/>
      <c r="AD1338" s="60"/>
      <c r="AE1338" s="60"/>
      <c r="AF1338" s="60"/>
      <c r="AG1338" s="60"/>
      <c r="AH1338" s="60"/>
      <c r="AI1338" s="60"/>
      <c r="AJ1338" s="60"/>
    </row>
    <row r="1339" spans="2:36" s="59" customFormat="1">
      <c r="B1339" s="203"/>
      <c r="D1339" s="186"/>
      <c r="F1339" s="209"/>
      <c r="G1339" s="209"/>
      <c r="H1339" s="209"/>
      <c r="I1339" s="209"/>
      <c r="J1339" s="209"/>
      <c r="K1339" s="191"/>
      <c r="L1339" s="363"/>
      <c r="M1339" s="366"/>
      <c r="N1339" s="366"/>
      <c r="O1339" s="365"/>
      <c r="P1339" s="365"/>
      <c r="Q1339" s="192"/>
      <c r="S1339" s="209"/>
      <c r="T1339" s="209"/>
      <c r="U1339" s="192"/>
      <c r="Z1339" s="60"/>
      <c r="AA1339" s="60"/>
      <c r="AB1339" s="60"/>
      <c r="AC1339" s="60"/>
      <c r="AD1339" s="60"/>
      <c r="AE1339" s="60"/>
      <c r="AF1339" s="60"/>
      <c r="AG1339" s="60"/>
      <c r="AH1339" s="60"/>
      <c r="AI1339" s="60"/>
      <c r="AJ1339" s="60"/>
    </row>
    <row r="1340" spans="2:36" s="59" customFormat="1">
      <c r="B1340" s="203"/>
      <c r="D1340" s="186"/>
      <c r="F1340" s="209"/>
      <c r="G1340" s="209"/>
      <c r="H1340" s="209"/>
      <c r="I1340" s="209"/>
      <c r="J1340" s="209"/>
      <c r="K1340" s="191"/>
      <c r="L1340" s="363"/>
      <c r="M1340" s="366"/>
      <c r="N1340" s="366"/>
      <c r="O1340" s="365"/>
      <c r="P1340" s="365"/>
      <c r="Q1340" s="192"/>
      <c r="S1340" s="209"/>
      <c r="T1340" s="209"/>
      <c r="U1340" s="192"/>
      <c r="Z1340" s="60"/>
      <c r="AA1340" s="60"/>
      <c r="AB1340" s="60"/>
      <c r="AC1340" s="60"/>
      <c r="AD1340" s="60"/>
      <c r="AE1340" s="60"/>
      <c r="AF1340" s="60"/>
      <c r="AG1340" s="60"/>
      <c r="AH1340" s="60"/>
      <c r="AI1340" s="60"/>
      <c r="AJ1340" s="60"/>
    </row>
    <row r="1341" spans="2:36" s="59" customFormat="1">
      <c r="B1341" s="203"/>
      <c r="D1341" s="186"/>
      <c r="F1341" s="209"/>
      <c r="G1341" s="209"/>
      <c r="H1341" s="209"/>
      <c r="I1341" s="209"/>
      <c r="J1341" s="209"/>
      <c r="K1341" s="191"/>
      <c r="L1341" s="363"/>
      <c r="M1341" s="366"/>
      <c r="N1341" s="366"/>
      <c r="O1341" s="365"/>
      <c r="P1341" s="365"/>
      <c r="Q1341" s="192"/>
      <c r="S1341" s="209"/>
      <c r="T1341" s="209"/>
      <c r="U1341" s="192"/>
      <c r="Z1341" s="60"/>
      <c r="AA1341" s="60"/>
      <c r="AB1341" s="60"/>
      <c r="AC1341" s="60"/>
      <c r="AD1341" s="60"/>
      <c r="AE1341" s="60"/>
      <c r="AF1341" s="60"/>
      <c r="AG1341" s="60"/>
      <c r="AH1341" s="60"/>
      <c r="AI1341" s="60"/>
      <c r="AJ1341" s="60"/>
    </row>
    <row r="1342" spans="2:36" s="59" customFormat="1">
      <c r="B1342" s="203"/>
      <c r="D1342" s="186"/>
      <c r="F1342" s="209"/>
      <c r="G1342" s="209"/>
      <c r="H1342" s="209"/>
      <c r="I1342" s="209"/>
      <c r="J1342" s="209"/>
      <c r="K1342" s="191"/>
      <c r="L1342" s="363"/>
      <c r="M1342" s="366"/>
      <c r="N1342" s="366"/>
      <c r="O1342" s="365"/>
      <c r="P1342" s="365"/>
      <c r="Q1342" s="192"/>
      <c r="S1342" s="209"/>
      <c r="T1342" s="209"/>
      <c r="U1342" s="192"/>
      <c r="Z1342" s="60"/>
      <c r="AA1342" s="60"/>
      <c r="AB1342" s="60"/>
      <c r="AC1342" s="60"/>
      <c r="AD1342" s="60"/>
      <c r="AE1342" s="60"/>
      <c r="AF1342" s="60"/>
      <c r="AG1342" s="60"/>
      <c r="AH1342" s="60"/>
      <c r="AI1342" s="60"/>
      <c r="AJ1342" s="60"/>
    </row>
    <row r="1343" spans="2:36" s="59" customFormat="1">
      <c r="B1343" s="203"/>
      <c r="D1343" s="186"/>
      <c r="F1343" s="209"/>
      <c r="G1343" s="209"/>
      <c r="H1343" s="209"/>
      <c r="I1343" s="209"/>
      <c r="J1343" s="209"/>
      <c r="K1343" s="191"/>
      <c r="L1343" s="363"/>
      <c r="M1343" s="366"/>
      <c r="N1343" s="366"/>
      <c r="O1343" s="365"/>
      <c r="P1343" s="365"/>
      <c r="Q1343" s="192"/>
      <c r="S1343" s="209"/>
      <c r="T1343" s="209"/>
      <c r="U1343" s="192"/>
      <c r="Z1343" s="60"/>
      <c r="AA1343" s="60"/>
      <c r="AB1343" s="60"/>
      <c r="AC1343" s="60"/>
      <c r="AD1343" s="60"/>
      <c r="AE1343" s="60"/>
      <c r="AF1343" s="60"/>
      <c r="AG1343" s="60"/>
      <c r="AH1343" s="60"/>
      <c r="AI1343" s="60"/>
      <c r="AJ1343" s="60"/>
    </row>
    <row r="1344" spans="2:36" s="59" customFormat="1">
      <c r="B1344" s="203"/>
      <c r="D1344" s="186"/>
      <c r="F1344" s="209"/>
      <c r="G1344" s="209"/>
      <c r="H1344" s="209"/>
      <c r="I1344" s="209"/>
      <c r="J1344" s="209"/>
      <c r="K1344" s="191"/>
      <c r="L1344" s="363"/>
      <c r="M1344" s="366"/>
      <c r="N1344" s="366"/>
      <c r="O1344" s="365"/>
      <c r="P1344" s="365"/>
      <c r="Q1344" s="192"/>
      <c r="S1344" s="209"/>
      <c r="T1344" s="209"/>
      <c r="U1344" s="192"/>
      <c r="Z1344" s="60"/>
      <c r="AA1344" s="60"/>
      <c r="AB1344" s="60"/>
      <c r="AC1344" s="60"/>
      <c r="AD1344" s="60"/>
      <c r="AE1344" s="60"/>
      <c r="AF1344" s="60"/>
      <c r="AG1344" s="60"/>
      <c r="AH1344" s="60"/>
      <c r="AI1344" s="60"/>
      <c r="AJ1344" s="60"/>
    </row>
    <row r="1345" spans="2:36" s="59" customFormat="1">
      <c r="B1345" s="203"/>
      <c r="D1345" s="186"/>
      <c r="F1345" s="209"/>
      <c r="G1345" s="209"/>
      <c r="H1345" s="209"/>
      <c r="I1345" s="209"/>
      <c r="J1345" s="209"/>
      <c r="K1345" s="191"/>
      <c r="L1345" s="363"/>
      <c r="M1345" s="366"/>
      <c r="N1345" s="366"/>
      <c r="O1345" s="365"/>
      <c r="P1345" s="365"/>
      <c r="Q1345" s="192"/>
      <c r="S1345" s="209"/>
      <c r="T1345" s="209"/>
      <c r="U1345" s="192"/>
      <c r="Z1345" s="60"/>
      <c r="AA1345" s="60"/>
      <c r="AB1345" s="60"/>
      <c r="AC1345" s="60"/>
      <c r="AD1345" s="60"/>
      <c r="AE1345" s="60"/>
      <c r="AF1345" s="60"/>
      <c r="AG1345" s="60"/>
      <c r="AH1345" s="60"/>
      <c r="AI1345" s="60"/>
      <c r="AJ1345" s="60"/>
    </row>
    <row r="1346" spans="2:36" s="59" customFormat="1">
      <c r="B1346" s="203"/>
      <c r="D1346" s="186"/>
      <c r="F1346" s="209"/>
      <c r="G1346" s="209"/>
      <c r="H1346" s="209"/>
      <c r="I1346" s="209"/>
      <c r="J1346" s="209"/>
      <c r="K1346" s="191"/>
      <c r="L1346" s="363"/>
      <c r="M1346" s="366"/>
      <c r="N1346" s="366"/>
      <c r="O1346" s="365"/>
      <c r="P1346" s="365"/>
      <c r="Q1346" s="192"/>
      <c r="S1346" s="209"/>
      <c r="T1346" s="209"/>
      <c r="U1346" s="192"/>
      <c r="Z1346" s="60"/>
      <c r="AA1346" s="60"/>
      <c r="AB1346" s="60"/>
      <c r="AC1346" s="60"/>
      <c r="AD1346" s="60"/>
      <c r="AE1346" s="60"/>
      <c r="AF1346" s="60"/>
      <c r="AG1346" s="60"/>
      <c r="AH1346" s="60"/>
      <c r="AI1346" s="60"/>
      <c r="AJ1346" s="60"/>
    </row>
    <row r="1347" spans="2:36" s="59" customFormat="1">
      <c r="B1347" s="203"/>
      <c r="D1347" s="186"/>
      <c r="F1347" s="209"/>
      <c r="G1347" s="209"/>
      <c r="H1347" s="209"/>
      <c r="I1347" s="209"/>
      <c r="J1347" s="209"/>
      <c r="K1347" s="191"/>
      <c r="L1347" s="363"/>
      <c r="M1347" s="366"/>
      <c r="N1347" s="366"/>
      <c r="O1347" s="365"/>
      <c r="P1347" s="365"/>
      <c r="Q1347" s="192"/>
      <c r="S1347" s="209"/>
      <c r="T1347" s="209"/>
      <c r="U1347" s="192"/>
      <c r="Z1347" s="60"/>
      <c r="AA1347" s="60"/>
      <c r="AB1347" s="60"/>
      <c r="AC1347" s="60"/>
      <c r="AD1347" s="60"/>
      <c r="AE1347" s="60"/>
      <c r="AF1347" s="60"/>
      <c r="AG1347" s="60"/>
      <c r="AH1347" s="60"/>
      <c r="AI1347" s="60"/>
      <c r="AJ1347" s="60"/>
    </row>
    <row r="1348" spans="2:36" s="59" customFormat="1">
      <c r="B1348" s="203"/>
      <c r="D1348" s="186"/>
      <c r="F1348" s="209"/>
      <c r="G1348" s="209"/>
      <c r="H1348" s="209"/>
      <c r="I1348" s="209"/>
      <c r="J1348" s="209"/>
      <c r="K1348" s="191"/>
      <c r="L1348" s="363"/>
      <c r="M1348" s="366"/>
      <c r="N1348" s="366"/>
      <c r="O1348" s="365"/>
      <c r="P1348" s="365"/>
      <c r="Q1348" s="192"/>
      <c r="S1348" s="209"/>
      <c r="T1348" s="209"/>
      <c r="U1348" s="192"/>
      <c r="Z1348" s="60"/>
      <c r="AA1348" s="60"/>
      <c r="AB1348" s="60"/>
      <c r="AC1348" s="60"/>
      <c r="AD1348" s="60"/>
      <c r="AE1348" s="60"/>
      <c r="AF1348" s="60"/>
      <c r="AG1348" s="60"/>
      <c r="AH1348" s="60"/>
      <c r="AI1348" s="60"/>
      <c r="AJ1348" s="60"/>
    </row>
    <row r="1349" spans="2:36" s="59" customFormat="1">
      <c r="B1349" s="203"/>
      <c r="D1349" s="186"/>
      <c r="F1349" s="209"/>
      <c r="G1349" s="209"/>
      <c r="H1349" s="209"/>
      <c r="I1349" s="209"/>
      <c r="J1349" s="209"/>
      <c r="K1349" s="191"/>
      <c r="L1349" s="363"/>
      <c r="M1349" s="366"/>
      <c r="N1349" s="366"/>
      <c r="O1349" s="365"/>
      <c r="P1349" s="365"/>
      <c r="Q1349" s="192"/>
      <c r="S1349" s="209"/>
      <c r="T1349" s="209"/>
      <c r="U1349" s="192"/>
      <c r="Z1349" s="60"/>
      <c r="AA1349" s="60"/>
      <c r="AB1349" s="60"/>
      <c r="AC1349" s="60"/>
      <c r="AD1349" s="60"/>
      <c r="AE1349" s="60"/>
      <c r="AF1349" s="60"/>
      <c r="AG1349" s="60"/>
      <c r="AH1349" s="60"/>
      <c r="AI1349" s="60"/>
      <c r="AJ1349" s="60"/>
    </row>
    <row r="1350" spans="2:36" s="59" customFormat="1">
      <c r="B1350" s="203"/>
      <c r="D1350" s="186"/>
      <c r="F1350" s="209"/>
      <c r="G1350" s="209"/>
      <c r="H1350" s="209"/>
      <c r="I1350" s="209"/>
      <c r="J1350" s="209"/>
      <c r="K1350" s="191"/>
      <c r="L1350" s="363"/>
      <c r="M1350" s="366"/>
      <c r="N1350" s="366"/>
      <c r="O1350" s="365"/>
      <c r="P1350" s="365"/>
      <c r="Q1350" s="192"/>
      <c r="S1350" s="209"/>
      <c r="T1350" s="209"/>
      <c r="U1350" s="192"/>
      <c r="Z1350" s="60"/>
      <c r="AA1350" s="60"/>
      <c r="AB1350" s="60"/>
      <c r="AC1350" s="60"/>
      <c r="AD1350" s="60"/>
      <c r="AE1350" s="60"/>
      <c r="AF1350" s="60"/>
      <c r="AG1350" s="60"/>
      <c r="AH1350" s="60"/>
      <c r="AI1350" s="60"/>
      <c r="AJ1350" s="60"/>
    </row>
    <row r="1351" spans="2:36" s="59" customFormat="1">
      <c r="B1351" s="203"/>
      <c r="D1351" s="186"/>
      <c r="F1351" s="209"/>
      <c r="G1351" s="209"/>
      <c r="H1351" s="209"/>
      <c r="I1351" s="209"/>
      <c r="J1351" s="209"/>
      <c r="K1351" s="191"/>
      <c r="L1351" s="363"/>
      <c r="M1351" s="366"/>
      <c r="N1351" s="366"/>
      <c r="O1351" s="365"/>
      <c r="P1351" s="365"/>
      <c r="Q1351" s="192"/>
      <c r="S1351" s="209"/>
      <c r="T1351" s="209"/>
      <c r="U1351" s="192"/>
      <c r="Z1351" s="60"/>
      <c r="AA1351" s="60"/>
      <c r="AB1351" s="60"/>
      <c r="AC1351" s="60"/>
      <c r="AD1351" s="60"/>
      <c r="AE1351" s="60"/>
      <c r="AF1351" s="60"/>
      <c r="AG1351" s="60"/>
      <c r="AH1351" s="60"/>
      <c r="AI1351" s="60"/>
      <c r="AJ1351" s="60"/>
    </row>
    <row r="1352" spans="2:36" s="59" customFormat="1">
      <c r="B1352" s="203"/>
      <c r="D1352" s="186"/>
      <c r="F1352" s="209"/>
      <c r="G1352" s="209"/>
      <c r="H1352" s="209"/>
      <c r="I1352" s="209"/>
      <c r="J1352" s="209"/>
      <c r="K1352" s="191"/>
      <c r="L1352" s="363"/>
      <c r="M1352" s="366"/>
      <c r="N1352" s="366"/>
      <c r="O1352" s="365"/>
      <c r="P1352" s="365"/>
      <c r="Q1352" s="192"/>
      <c r="S1352" s="209"/>
      <c r="T1352" s="209"/>
      <c r="U1352" s="192"/>
      <c r="Z1352" s="60"/>
      <c r="AA1352" s="60"/>
      <c r="AB1352" s="60"/>
      <c r="AC1352" s="60"/>
      <c r="AD1352" s="60"/>
      <c r="AE1352" s="60"/>
      <c r="AF1352" s="60"/>
      <c r="AG1352" s="60"/>
      <c r="AH1352" s="60"/>
      <c r="AI1352" s="60"/>
      <c r="AJ1352" s="60"/>
    </row>
    <row r="1353" spans="2:36" s="59" customFormat="1">
      <c r="B1353" s="203"/>
      <c r="D1353" s="186"/>
      <c r="F1353" s="209"/>
      <c r="G1353" s="209"/>
      <c r="H1353" s="209"/>
      <c r="I1353" s="209"/>
      <c r="J1353" s="209"/>
      <c r="K1353" s="191"/>
      <c r="L1353" s="363"/>
      <c r="M1353" s="366"/>
      <c r="N1353" s="366"/>
      <c r="O1353" s="365"/>
      <c r="P1353" s="365"/>
      <c r="Q1353" s="192"/>
      <c r="S1353" s="209"/>
      <c r="T1353" s="209"/>
      <c r="U1353" s="192"/>
      <c r="Z1353" s="60"/>
      <c r="AA1353" s="60"/>
      <c r="AB1353" s="60"/>
      <c r="AC1353" s="60"/>
      <c r="AD1353" s="60"/>
      <c r="AE1353" s="60"/>
      <c r="AF1353" s="60"/>
      <c r="AG1353" s="60"/>
      <c r="AH1353" s="60"/>
      <c r="AI1353" s="60"/>
      <c r="AJ1353" s="60"/>
    </row>
    <row r="1354" spans="2:36" s="59" customFormat="1">
      <c r="B1354" s="203"/>
      <c r="D1354" s="186"/>
      <c r="F1354" s="209"/>
      <c r="G1354" s="209"/>
      <c r="H1354" s="209"/>
      <c r="I1354" s="209"/>
      <c r="J1354" s="209"/>
      <c r="K1354" s="191"/>
      <c r="L1354" s="363"/>
      <c r="M1354" s="366"/>
      <c r="N1354" s="366"/>
      <c r="O1354" s="365"/>
      <c r="P1354" s="365"/>
      <c r="Q1354" s="192"/>
      <c r="S1354" s="209"/>
      <c r="T1354" s="209"/>
      <c r="U1354" s="192"/>
      <c r="Z1354" s="60"/>
      <c r="AA1354" s="60"/>
      <c r="AB1354" s="60"/>
      <c r="AC1354" s="60"/>
      <c r="AD1354" s="60"/>
      <c r="AE1354" s="60"/>
      <c r="AF1354" s="60"/>
      <c r="AG1354" s="60"/>
      <c r="AH1354" s="60"/>
      <c r="AI1354" s="60"/>
      <c r="AJ1354" s="60"/>
    </row>
    <row r="1355" spans="2:36" s="59" customFormat="1">
      <c r="B1355" s="203"/>
      <c r="D1355" s="186"/>
      <c r="F1355" s="209"/>
      <c r="G1355" s="209"/>
      <c r="H1355" s="209"/>
      <c r="I1355" s="209"/>
      <c r="J1355" s="209"/>
      <c r="K1355" s="191"/>
      <c r="L1355" s="363"/>
      <c r="M1355" s="366"/>
      <c r="N1355" s="366"/>
      <c r="O1355" s="365"/>
      <c r="P1355" s="365"/>
      <c r="Q1355" s="192"/>
      <c r="S1355" s="209"/>
      <c r="T1355" s="209"/>
      <c r="U1355" s="192"/>
      <c r="Z1355" s="60"/>
      <c r="AA1355" s="60"/>
      <c r="AB1355" s="60"/>
      <c r="AC1355" s="60"/>
      <c r="AD1355" s="60"/>
      <c r="AE1355" s="60"/>
      <c r="AF1355" s="60"/>
      <c r="AG1355" s="60"/>
      <c r="AH1355" s="60"/>
      <c r="AI1355" s="60"/>
      <c r="AJ1355" s="60"/>
    </row>
    <row r="1356" spans="2:36" s="59" customFormat="1">
      <c r="B1356" s="203"/>
      <c r="D1356" s="186"/>
      <c r="F1356" s="209"/>
      <c r="G1356" s="209"/>
      <c r="H1356" s="209"/>
      <c r="I1356" s="209"/>
      <c r="J1356" s="209"/>
      <c r="K1356" s="191"/>
      <c r="L1356" s="363"/>
      <c r="M1356" s="366"/>
      <c r="N1356" s="366"/>
      <c r="O1356" s="365"/>
      <c r="P1356" s="365"/>
      <c r="Q1356" s="192"/>
      <c r="S1356" s="209"/>
      <c r="T1356" s="209"/>
      <c r="U1356" s="192"/>
      <c r="Z1356" s="60"/>
      <c r="AA1356" s="60"/>
      <c r="AB1356" s="60"/>
      <c r="AC1356" s="60"/>
      <c r="AD1356" s="60"/>
      <c r="AE1356" s="60"/>
      <c r="AF1356" s="60"/>
      <c r="AG1356" s="60"/>
      <c r="AH1356" s="60"/>
      <c r="AI1356" s="60"/>
      <c r="AJ1356" s="60"/>
    </row>
    <row r="1357" spans="2:36" s="59" customFormat="1">
      <c r="B1357" s="203"/>
      <c r="D1357" s="186"/>
      <c r="F1357" s="209"/>
      <c r="G1357" s="209"/>
      <c r="H1357" s="209"/>
      <c r="I1357" s="209"/>
      <c r="J1357" s="209"/>
      <c r="K1357" s="191"/>
      <c r="L1357" s="363"/>
      <c r="M1357" s="366"/>
      <c r="N1357" s="366"/>
      <c r="O1357" s="365"/>
      <c r="P1357" s="365"/>
      <c r="Q1357" s="192"/>
      <c r="S1357" s="209"/>
      <c r="T1357" s="209"/>
      <c r="U1357" s="192"/>
      <c r="Z1357" s="60"/>
      <c r="AA1357" s="60"/>
      <c r="AB1357" s="60"/>
      <c r="AC1357" s="60"/>
      <c r="AD1357" s="60"/>
      <c r="AE1357" s="60"/>
      <c r="AF1357" s="60"/>
      <c r="AG1357" s="60"/>
      <c r="AH1357" s="60"/>
      <c r="AI1357" s="60"/>
      <c r="AJ1357" s="60"/>
    </row>
    <row r="1358" spans="2:36" s="59" customFormat="1">
      <c r="B1358" s="203"/>
      <c r="D1358" s="186"/>
      <c r="F1358" s="209"/>
      <c r="G1358" s="209"/>
      <c r="H1358" s="209"/>
      <c r="I1358" s="209"/>
      <c r="J1358" s="209"/>
      <c r="K1358" s="191"/>
      <c r="L1358" s="363"/>
      <c r="M1358" s="366"/>
      <c r="N1358" s="366"/>
      <c r="O1358" s="365"/>
      <c r="P1358" s="365"/>
      <c r="Q1358" s="192"/>
      <c r="S1358" s="209"/>
      <c r="T1358" s="209"/>
      <c r="U1358" s="192"/>
      <c r="Z1358" s="60"/>
      <c r="AA1358" s="60"/>
      <c r="AB1358" s="60"/>
      <c r="AC1358" s="60"/>
      <c r="AD1358" s="60"/>
      <c r="AE1358" s="60"/>
      <c r="AF1358" s="60"/>
      <c r="AG1358" s="60"/>
      <c r="AH1358" s="60"/>
      <c r="AI1358" s="60"/>
      <c r="AJ1358" s="60"/>
    </row>
    <row r="1359" spans="2:36" s="59" customFormat="1">
      <c r="B1359" s="203"/>
      <c r="D1359" s="186"/>
      <c r="F1359" s="209"/>
      <c r="G1359" s="209"/>
      <c r="H1359" s="209"/>
      <c r="I1359" s="209"/>
      <c r="J1359" s="209"/>
      <c r="K1359" s="191"/>
      <c r="L1359" s="363"/>
      <c r="M1359" s="366"/>
      <c r="N1359" s="366"/>
      <c r="O1359" s="365"/>
      <c r="P1359" s="365"/>
      <c r="Q1359" s="192"/>
      <c r="S1359" s="209"/>
      <c r="T1359" s="209"/>
      <c r="U1359" s="192"/>
      <c r="Z1359" s="60"/>
      <c r="AA1359" s="60"/>
      <c r="AB1359" s="60"/>
      <c r="AC1359" s="60"/>
      <c r="AD1359" s="60"/>
      <c r="AE1359" s="60"/>
      <c r="AF1359" s="60"/>
      <c r="AG1359" s="60"/>
      <c r="AH1359" s="60"/>
      <c r="AI1359" s="60"/>
      <c r="AJ1359" s="60"/>
    </row>
    <row r="1360" spans="2:36" s="59" customFormat="1">
      <c r="B1360" s="203"/>
      <c r="D1360" s="186"/>
      <c r="F1360" s="209"/>
      <c r="G1360" s="209"/>
      <c r="H1360" s="209"/>
      <c r="I1360" s="209"/>
      <c r="J1360" s="209"/>
      <c r="K1360" s="191"/>
      <c r="L1360" s="363"/>
      <c r="M1360" s="366"/>
      <c r="N1360" s="366"/>
      <c r="O1360" s="365"/>
      <c r="P1360" s="365"/>
      <c r="Q1360" s="192"/>
      <c r="S1360" s="209"/>
      <c r="T1360" s="209"/>
      <c r="U1360" s="192"/>
      <c r="Z1360" s="60"/>
      <c r="AA1360" s="60"/>
      <c r="AB1360" s="60"/>
      <c r="AC1360" s="60"/>
      <c r="AD1360" s="60"/>
      <c r="AE1360" s="60"/>
      <c r="AF1360" s="60"/>
      <c r="AG1360" s="60"/>
      <c r="AH1360" s="60"/>
      <c r="AI1360" s="60"/>
      <c r="AJ1360" s="60"/>
    </row>
    <row r="1361" spans="2:36" s="59" customFormat="1">
      <c r="B1361" s="203"/>
      <c r="D1361" s="186"/>
      <c r="F1361" s="209"/>
      <c r="G1361" s="209"/>
      <c r="H1361" s="209"/>
      <c r="I1361" s="209"/>
      <c r="J1361" s="209"/>
      <c r="K1361" s="191"/>
      <c r="L1361" s="363"/>
      <c r="M1361" s="366"/>
      <c r="N1361" s="366"/>
      <c r="O1361" s="365"/>
      <c r="P1361" s="365"/>
      <c r="Q1361" s="192"/>
      <c r="S1361" s="209"/>
      <c r="T1361" s="209"/>
      <c r="U1361" s="192"/>
      <c r="Z1361" s="60"/>
      <c r="AA1361" s="60"/>
      <c r="AB1361" s="60"/>
      <c r="AC1361" s="60"/>
      <c r="AD1361" s="60"/>
      <c r="AE1361" s="60"/>
      <c r="AF1361" s="60"/>
      <c r="AG1361" s="60"/>
      <c r="AH1361" s="60"/>
      <c r="AI1361" s="60"/>
      <c r="AJ1361" s="60"/>
    </row>
    <row r="1362" spans="2:36" s="59" customFormat="1">
      <c r="B1362" s="203"/>
      <c r="D1362" s="186"/>
      <c r="F1362" s="209"/>
      <c r="G1362" s="209"/>
      <c r="H1362" s="209"/>
      <c r="I1362" s="209"/>
      <c r="J1362" s="209"/>
      <c r="K1362" s="191"/>
      <c r="L1362" s="363"/>
      <c r="M1362" s="366"/>
      <c r="N1362" s="366"/>
      <c r="O1362" s="365"/>
      <c r="P1362" s="365"/>
      <c r="Q1362" s="192"/>
      <c r="S1362" s="209"/>
      <c r="T1362" s="209"/>
      <c r="U1362" s="192"/>
      <c r="Z1362" s="60"/>
      <c r="AA1362" s="60"/>
      <c r="AB1362" s="60"/>
      <c r="AC1362" s="60"/>
      <c r="AD1362" s="60"/>
      <c r="AE1362" s="60"/>
      <c r="AF1362" s="60"/>
      <c r="AG1362" s="60"/>
      <c r="AH1362" s="60"/>
      <c r="AI1362" s="60"/>
      <c r="AJ1362" s="60"/>
    </row>
    <row r="1363" spans="2:36" s="59" customFormat="1">
      <c r="B1363" s="203"/>
      <c r="D1363" s="186"/>
      <c r="F1363" s="209"/>
      <c r="G1363" s="209"/>
      <c r="H1363" s="209"/>
      <c r="I1363" s="209"/>
      <c r="J1363" s="209"/>
      <c r="K1363" s="191"/>
      <c r="L1363" s="363"/>
      <c r="M1363" s="366"/>
      <c r="N1363" s="366"/>
      <c r="O1363" s="365"/>
      <c r="P1363" s="365"/>
      <c r="Q1363" s="192"/>
      <c r="S1363" s="209"/>
      <c r="T1363" s="209"/>
      <c r="U1363" s="192"/>
      <c r="Z1363" s="60"/>
      <c r="AA1363" s="60"/>
      <c r="AB1363" s="60"/>
      <c r="AC1363" s="60"/>
      <c r="AD1363" s="60"/>
      <c r="AE1363" s="60"/>
      <c r="AF1363" s="60"/>
      <c r="AG1363" s="60"/>
      <c r="AH1363" s="60"/>
      <c r="AI1363" s="60"/>
      <c r="AJ1363" s="60"/>
    </row>
    <row r="1364" spans="2:36" s="59" customFormat="1">
      <c r="B1364" s="203"/>
      <c r="D1364" s="186"/>
      <c r="F1364" s="209"/>
      <c r="G1364" s="209"/>
      <c r="H1364" s="209"/>
      <c r="I1364" s="209"/>
      <c r="J1364" s="209"/>
      <c r="K1364" s="191"/>
      <c r="L1364" s="363"/>
      <c r="M1364" s="366"/>
      <c r="N1364" s="366"/>
      <c r="O1364" s="365"/>
      <c r="P1364" s="365"/>
      <c r="Q1364" s="192"/>
      <c r="S1364" s="209"/>
      <c r="T1364" s="209"/>
      <c r="U1364" s="192"/>
      <c r="Z1364" s="60"/>
      <c r="AA1364" s="60"/>
      <c r="AB1364" s="60"/>
      <c r="AC1364" s="60"/>
      <c r="AD1364" s="60"/>
      <c r="AE1364" s="60"/>
      <c r="AF1364" s="60"/>
      <c r="AG1364" s="60"/>
      <c r="AH1364" s="60"/>
      <c r="AI1364" s="60"/>
      <c r="AJ1364" s="60"/>
    </row>
    <row r="1365" spans="2:36" s="59" customFormat="1">
      <c r="B1365" s="203"/>
      <c r="D1365" s="186"/>
      <c r="F1365" s="209"/>
      <c r="G1365" s="209"/>
      <c r="H1365" s="209"/>
      <c r="I1365" s="209"/>
      <c r="J1365" s="209"/>
      <c r="K1365" s="191"/>
      <c r="L1365" s="363"/>
      <c r="M1365" s="366"/>
      <c r="N1365" s="366"/>
      <c r="O1365" s="365"/>
      <c r="P1365" s="365"/>
      <c r="Q1365" s="192"/>
      <c r="S1365" s="209"/>
      <c r="T1365" s="209"/>
      <c r="U1365" s="192"/>
      <c r="Z1365" s="60"/>
      <c r="AA1365" s="60"/>
      <c r="AB1365" s="60"/>
      <c r="AC1365" s="60"/>
      <c r="AD1365" s="60"/>
      <c r="AE1365" s="60"/>
      <c r="AF1365" s="60"/>
      <c r="AG1365" s="60"/>
      <c r="AH1365" s="60"/>
      <c r="AI1365" s="60"/>
      <c r="AJ1365" s="60"/>
    </row>
    <row r="1366" spans="2:36" s="59" customFormat="1">
      <c r="B1366" s="203"/>
      <c r="D1366" s="186"/>
      <c r="F1366" s="209"/>
      <c r="G1366" s="209"/>
      <c r="H1366" s="209"/>
      <c r="I1366" s="209"/>
      <c r="J1366" s="209"/>
      <c r="K1366" s="191"/>
      <c r="L1366" s="363"/>
      <c r="M1366" s="366"/>
      <c r="N1366" s="366"/>
      <c r="O1366" s="365"/>
      <c r="P1366" s="365"/>
      <c r="Q1366" s="192"/>
      <c r="S1366" s="209"/>
      <c r="T1366" s="209"/>
      <c r="U1366" s="192"/>
      <c r="Z1366" s="60"/>
      <c r="AA1366" s="60"/>
      <c r="AB1366" s="60"/>
      <c r="AC1366" s="60"/>
      <c r="AD1366" s="60"/>
      <c r="AE1366" s="60"/>
      <c r="AF1366" s="60"/>
      <c r="AG1366" s="60"/>
      <c r="AH1366" s="60"/>
      <c r="AI1366" s="60"/>
      <c r="AJ1366" s="60"/>
    </row>
    <row r="1367" spans="2:36" s="59" customFormat="1">
      <c r="B1367" s="203"/>
      <c r="D1367" s="186"/>
      <c r="F1367" s="209"/>
      <c r="G1367" s="209"/>
      <c r="H1367" s="209"/>
      <c r="I1367" s="209"/>
      <c r="J1367" s="209"/>
      <c r="K1367" s="191"/>
      <c r="L1367" s="363"/>
      <c r="M1367" s="366"/>
      <c r="N1367" s="366"/>
      <c r="O1367" s="365"/>
      <c r="P1367" s="365"/>
      <c r="Q1367" s="192"/>
      <c r="S1367" s="209"/>
      <c r="T1367" s="209"/>
      <c r="U1367" s="192"/>
      <c r="Z1367" s="60"/>
      <c r="AA1367" s="60"/>
      <c r="AB1367" s="60"/>
      <c r="AC1367" s="60"/>
      <c r="AD1367" s="60"/>
      <c r="AE1367" s="60"/>
      <c r="AF1367" s="60"/>
      <c r="AG1367" s="60"/>
      <c r="AH1367" s="60"/>
      <c r="AI1367" s="60"/>
      <c r="AJ1367" s="60"/>
    </row>
    <row r="1368" spans="2:36" s="59" customFormat="1">
      <c r="B1368" s="203"/>
      <c r="D1368" s="186"/>
      <c r="F1368" s="209"/>
      <c r="G1368" s="209"/>
      <c r="H1368" s="209"/>
      <c r="I1368" s="209"/>
      <c r="J1368" s="209"/>
      <c r="K1368" s="191"/>
      <c r="L1368" s="363"/>
      <c r="M1368" s="366"/>
      <c r="N1368" s="366"/>
      <c r="O1368" s="365"/>
      <c r="P1368" s="365"/>
      <c r="Q1368" s="192"/>
      <c r="S1368" s="209"/>
      <c r="T1368" s="209"/>
      <c r="U1368" s="192"/>
      <c r="Z1368" s="60"/>
      <c r="AA1368" s="60"/>
      <c r="AB1368" s="60"/>
      <c r="AC1368" s="60"/>
      <c r="AD1368" s="60"/>
      <c r="AE1368" s="60"/>
      <c r="AF1368" s="60"/>
      <c r="AG1368" s="60"/>
      <c r="AH1368" s="60"/>
      <c r="AI1368" s="60"/>
      <c r="AJ1368" s="60"/>
    </row>
    <row r="1369" spans="2:36" s="59" customFormat="1">
      <c r="B1369" s="203"/>
      <c r="D1369" s="186"/>
      <c r="F1369" s="209"/>
      <c r="G1369" s="209"/>
      <c r="H1369" s="209"/>
      <c r="I1369" s="209"/>
      <c r="J1369" s="209"/>
      <c r="K1369" s="191"/>
      <c r="L1369" s="363"/>
      <c r="M1369" s="366"/>
      <c r="N1369" s="366"/>
      <c r="O1369" s="365"/>
      <c r="P1369" s="365"/>
      <c r="Q1369" s="192"/>
      <c r="S1369" s="209"/>
      <c r="T1369" s="209"/>
      <c r="U1369" s="192"/>
      <c r="Z1369" s="60"/>
      <c r="AA1369" s="60"/>
      <c r="AB1369" s="60"/>
      <c r="AC1369" s="60"/>
      <c r="AD1369" s="60"/>
      <c r="AE1369" s="60"/>
      <c r="AF1369" s="60"/>
      <c r="AG1369" s="60"/>
      <c r="AH1369" s="60"/>
      <c r="AI1369" s="60"/>
      <c r="AJ1369" s="60"/>
    </row>
    <row r="1370" spans="2:36" s="59" customFormat="1">
      <c r="B1370" s="203"/>
      <c r="D1370" s="186"/>
      <c r="F1370" s="209"/>
      <c r="G1370" s="209"/>
      <c r="H1370" s="209"/>
      <c r="I1370" s="209"/>
      <c r="J1370" s="209"/>
      <c r="K1370" s="191"/>
      <c r="L1370" s="363"/>
      <c r="M1370" s="366"/>
      <c r="N1370" s="366"/>
      <c r="O1370" s="365"/>
      <c r="P1370" s="365"/>
      <c r="Q1370" s="192"/>
      <c r="S1370" s="209"/>
      <c r="T1370" s="209"/>
      <c r="U1370" s="192"/>
      <c r="Z1370" s="60"/>
      <c r="AA1370" s="60"/>
      <c r="AB1370" s="60"/>
      <c r="AC1370" s="60"/>
      <c r="AD1370" s="60"/>
      <c r="AE1370" s="60"/>
      <c r="AF1370" s="60"/>
      <c r="AG1370" s="60"/>
      <c r="AH1370" s="60"/>
      <c r="AI1370" s="60"/>
      <c r="AJ1370" s="60"/>
    </row>
    <row r="1371" spans="2:36" s="59" customFormat="1">
      <c r="B1371" s="203"/>
      <c r="D1371" s="186"/>
      <c r="F1371" s="209"/>
      <c r="G1371" s="209"/>
      <c r="H1371" s="209"/>
      <c r="I1371" s="209"/>
      <c r="J1371" s="209"/>
      <c r="K1371" s="191"/>
      <c r="L1371" s="363"/>
      <c r="M1371" s="366"/>
      <c r="N1371" s="366"/>
      <c r="O1371" s="365"/>
      <c r="P1371" s="365"/>
      <c r="Q1371" s="192"/>
      <c r="S1371" s="209"/>
      <c r="T1371" s="209"/>
      <c r="U1371" s="192"/>
      <c r="Z1371" s="60"/>
      <c r="AA1371" s="60"/>
      <c r="AB1371" s="60"/>
      <c r="AC1371" s="60"/>
      <c r="AD1371" s="60"/>
      <c r="AE1371" s="60"/>
      <c r="AF1371" s="60"/>
      <c r="AG1371" s="60"/>
      <c r="AH1371" s="60"/>
      <c r="AI1371" s="60"/>
      <c r="AJ1371" s="60"/>
    </row>
    <row r="1372" spans="2:36" s="59" customFormat="1">
      <c r="B1372" s="203"/>
      <c r="D1372" s="186"/>
      <c r="F1372" s="209"/>
      <c r="G1372" s="209"/>
      <c r="H1372" s="209"/>
      <c r="I1372" s="209"/>
      <c r="J1372" s="209"/>
      <c r="K1372" s="191"/>
      <c r="L1372" s="363"/>
      <c r="M1372" s="366"/>
      <c r="N1372" s="366"/>
      <c r="O1372" s="365"/>
      <c r="P1372" s="365"/>
      <c r="Q1372" s="192"/>
      <c r="S1372" s="209"/>
      <c r="T1372" s="209"/>
      <c r="U1372" s="192"/>
      <c r="Z1372" s="60"/>
      <c r="AA1372" s="60"/>
      <c r="AB1372" s="60"/>
      <c r="AC1372" s="60"/>
      <c r="AD1372" s="60"/>
      <c r="AE1372" s="60"/>
      <c r="AF1372" s="60"/>
      <c r="AG1372" s="60"/>
      <c r="AH1372" s="60"/>
      <c r="AI1372" s="60"/>
      <c r="AJ1372" s="60"/>
    </row>
    <row r="1373" spans="2:36" s="59" customFormat="1">
      <c r="B1373" s="203"/>
      <c r="D1373" s="186"/>
      <c r="F1373" s="209"/>
      <c r="G1373" s="209"/>
      <c r="H1373" s="209"/>
      <c r="I1373" s="209"/>
      <c r="J1373" s="209"/>
      <c r="K1373" s="191"/>
      <c r="L1373" s="363"/>
      <c r="M1373" s="366"/>
      <c r="N1373" s="366"/>
      <c r="O1373" s="365"/>
      <c r="P1373" s="365"/>
      <c r="Q1373" s="192"/>
      <c r="S1373" s="209"/>
      <c r="T1373" s="209"/>
      <c r="U1373" s="192"/>
      <c r="Z1373" s="60"/>
      <c r="AA1373" s="60"/>
      <c r="AB1373" s="60"/>
      <c r="AC1373" s="60"/>
      <c r="AD1373" s="60"/>
      <c r="AE1373" s="60"/>
      <c r="AF1373" s="60"/>
      <c r="AG1373" s="60"/>
      <c r="AH1373" s="60"/>
      <c r="AI1373" s="60"/>
      <c r="AJ1373" s="60"/>
    </row>
    <row r="1374" spans="2:36" s="59" customFormat="1">
      <c r="B1374" s="203"/>
      <c r="D1374" s="186"/>
      <c r="F1374" s="209"/>
      <c r="G1374" s="209"/>
      <c r="H1374" s="209"/>
      <c r="I1374" s="209"/>
      <c r="J1374" s="209"/>
      <c r="K1374" s="191"/>
      <c r="L1374" s="363"/>
      <c r="M1374" s="366"/>
      <c r="N1374" s="366"/>
      <c r="O1374" s="365"/>
      <c r="P1374" s="365"/>
      <c r="Q1374" s="192"/>
      <c r="S1374" s="209"/>
      <c r="T1374" s="209"/>
      <c r="U1374" s="192"/>
      <c r="Z1374" s="60"/>
      <c r="AA1374" s="60"/>
      <c r="AB1374" s="60"/>
      <c r="AC1374" s="60"/>
      <c r="AD1374" s="60"/>
      <c r="AE1374" s="60"/>
      <c r="AF1374" s="60"/>
      <c r="AG1374" s="60"/>
      <c r="AH1374" s="60"/>
      <c r="AI1374" s="60"/>
      <c r="AJ1374" s="60"/>
    </row>
    <row r="1375" spans="2:36" s="59" customFormat="1">
      <c r="B1375" s="203"/>
      <c r="D1375" s="186"/>
      <c r="F1375" s="209"/>
      <c r="G1375" s="209"/>
      <c r="H1375" s="209"/>
      <c r="I1375" s="209"/>
      <c r="J1375" s="209"/>
      <c r="K1375" s="191"/>
      <c r="L1375" s="363"/>
      <c r="M1375" s="366"/>
      <c r="N1375" s="366"/>
      <c r="O1375" s="365"/>
      <c r="P1375" s="365"/>
      <c r="Q1375" s="192"/>
      <c r="S1375" s="209"/>
      <c r="T1375" s="209"/>
      <c r="U1375" s="192"/>
      <c r="Z1375" s="60"/>
      <c r="AA1375" s="60"/>
      <c r="AB1375" s="60"/>
      <c r="AC1375" s="60"/>
      <c r="AD1375" s="60"/>
      <c r="AE1375" s="60"/>
      <c r="AF1375" s="60"/>
      <c r="AG1375" s="60"/>
      <c r="AH1375" s="60"/>
      <c r="AI1375" s="60"/>
      <c r="AJ1375" s="60"/>
    </row>
    <row r="1376" spans="2:36" s="59" customFormat="1">
      <c r="B1376" s="203"/>
      <c r="D1376" s="186"/>
      <c r="F1376" s="209"/>
      <c r="G1376" s="209"/>
      <c r="H1376" s="209"/>
      <c r="I1376" s="209"/>
      <c r="J1376" s="209"/>
      <c r="K1376" s="191"/>
      <c r="L1376" s="363"/>
      <c r="M1376" s="366"/>
      <c r="N1376" s="366"/>
      <c r="O1376" s="365"/>
      <c r="P1376" s="365"/>
      <c r="Q1376" s="192"/>
      <c r="S1376" s="209"/>
      <c r="T1376" s="209"/>
      <c r="U1376" s="192"/>
      <c r="Z1376" s="60"/>
      <c r="AA1376" s="60"/>
      <c r="AB1376" s="60"/>
      <c r="AC1376" s="60"/>
      <c r="AD1376" s="60"/>
      <c r="AE1376" s="60"/>
      <c r="AF1376" s="60"/>
      <c r="AG1376" s="60"/>
      <c r="AH1376" s="60"/>
      <c r="AI1376" s="60"/>
      <c r="AJ1376" s="60"/>
    </row>
    <row r="1377" spans="2:36" s="59" customFormat="1">
      <c r="B1377" s="203"/>
      <c r="D1377" s="186"/>
      <c r="F1377" s="209"/>
      <c r="G1377" s="209"/>
      <c r="H1377" s="209"/>
      <c r="I1377" s="209"/>
      <c r="J1377" s="209"/>
      <c r="K1377" s="191"/>
      <c r="L1377" s="363"/>
      <c r="M1377" s="366"/>
      <c r="N1377" s="366"/>
      <c r="O1377" s="365"/>
      <c r="P1377" s="365"/>
      <c r="Q1377" s="192"/>
      <c r="S1377" s="209"/>
      <c r="T1377" s="209"/>
      <c r="U1377" s="192"/>
      <c r="Z1377" s="60"/>
      <c r="AA1377" s="60"/>
      <c r="AB1377" s="60"/>
      <c r="AC1377" s="60"/>
      <c r="AD1377" s="60"/>
      <c r="AE1377" s="60"/>
      <c r="AF1377" s="60"/>
      <c r="AG1377" s="60"/>
      <c r="AH1377" s="60"/>
      <c r="AI1377" s="60"/>
      <c r="AJ1377" s="60"/>
    </row>
    <row r="1378" spans="2:36" s="59" customFormat="1">
      <c r="B1378" s="203"/>
      <c r="D1378" s="186"/>
      <c r="F1378" s="209"/>
      <c r="G1378" s="209"/>
      <c r="H1378" s="209"/>
      <c r="I1378" s="209"/>
      <c r="J1378" s="209"/>
      <c r="K1378" s="191"/>
      <c r="L1378" s="363"/>
      <c r="M1378" s="366"/>
      <c r="N1378" s="366"/>
      <c r="O1378" s="365"/>
      <c r="P1378" s="365"/>
      <c r="Q1378" s="192"/>
      <c r="S1378" s="209"/>
      <c r="T1378" s="209"/>
      <c r="U1378" s="192"/>
      <c r="Z1378" s="60"/>
      <c r="AA1378" s="60"/>
      <c r="AB1378" s="60"/>
      <c r="AC1378" s="60"/>
      <c r="AD1378" s="60"/>
      <c r="AE1378" s="60"/>
      <c r="AF1378" s="60"/>
      <c r="AG1378" s="60"/>
      <c r="AH1378" s="60"/>
      <c r="AI1378" s="60"/>
      <c r="AJ1378" s="60"/>
    </row>
    <row r="1379" spans="2:36" s="59" customFormat="1">
      <c r="B1379" s="203"/>
      <c r="D1379" s="186"/>
      <c r="F1379" s="209"/>
      <c r="G1379" s="209"/>
      <c r="H1379" s="209"/>
      <c r="I1379" s="209"/>
      <c r="J1379" s="209"/>
      <c r="K1379" s="191"/>
      <c r="L1379" s="363"/>
      <c r="M1379" s="366"/>
      <c r="N1379" s="366"/>
      <c r="O1379" s="365"/>
      <c r="P1379" s="365"/>
      <c r="Q1379" s="192"/>
      <c r="S1379" s="209"/>
      <c r="T1379" s="209"/>
      <c r="U1379" s="192"/>
      <c r="Z1379" s="60"/>
      <c r="AA1379" s="60"/>
      <c r="AB1379" s="60"/>
      <c r="AC1379" s="60"/>
      <c r="AD1379" s="60"/>
      <c r="AE1379" s="60"/>
      <c r="AF1379" s="60"/>
      <c r="AG1379" s="60"/>
      <c r="AH1379" s="60"/>
      <c r="AI1379" s="60"/>
      <c r="AJ1379" s="60"/>
    </row>
    <row r="1380" spans="2:36" s="59" customFormat="1">
      <c r="B1380" s="203"/>
      <c r="D1380" s="186"/>
      <c r="F1380" s="209"/>
      <c r="G1380" s="209"/>
      <c r="H1380" s="209"/>
      <c r="I1380" s="209"/>
      <c r="J1380" s="209"/>
      <c r="K1380" s="191"/>
      <c r="L1380" s="363"/>
      <c r="M1380" s="366"/>
      <c r="N1380" s="366"/>
      <c r="O1380" s="365"/>
      <c r="P1380" s="365"/>
      <c r="Q1380" s="192"/>
      <c r="S1380" s="209"/>
      <c r="T1380" s="209"/>
      <c r="U1380" s="192"/>
      <c r="Z1380" s="60"/>
      <c r="AA1380" s="60"/>
      <c r="AB1380" s="60"/>
      <c r="AC1380" s="60"/>
      <c r="AD1380" s="60"/>
      <c r="AE1380" s="60"/>
      <c r="AF1380" s="60"/>
      <c r="AG1380" s="60"/>
      <c r="AH1380" s="60"/>
      <c r="AI1380" s="60"/>
      <c r="AJ1380" s="60"/>
    </row>
    <row r="1381" spans="2:36" s="59" customFormat="1">
      <c r="B1381" s="203"/>
      <c r="D1381" s="186"/>
      <c r="F1381" s="209"/>
      <c r="G1381" s="209"/>
      <c r="H1381" s="209"/>
      <c r="I1381" s="209"/>
      <c r="J1381" s="209"/>
      <c r="K1381" s="191"/>
      <c r="L1381" s="363"/>
      <c r="M1381" s="366"/>
      <c r="N1381" s="366"/>
      <c r="O1381" s="365"/>
      <c r="P1381" s="365"/>
      <c r="Q1381" s="192"/>
      <c r="S1381" s="209"/>
      <c r="T1381" s="209"/>
      <c r="U1381" s="192"/>
      <c r="Z1381" s="60"/>
      <c r="AA1381" s="60"/>
      <c r="AB1381" s="60"/>
      <c r="AC1381" s="60"/>
      <c r="AD1381" s="60"/>
      <c r="AE1381" s="60"/>
      <c r="AF1381" s="60"/>
      <c r="AG1381" s="60"/>
      <c r="AH1381" s="60"/>
      <c r="AI1381" s="60"/>
      <c r="AJ1381" s="60"/>
    </row>
    <row r="1382" spans="2:36" s="59" customFormat="1">
      <c r="B1382" s="203"/>
      <c r="D1382" s="186"/>
      <c r="F1382" s="209"/>
      <c r="G1382" s="209"/>
      <c r="H1382" s="209"/>
      <c r="I1382" s="209"/>
      <c r="J1382" s="209"/>
      <c r="K1382" s="191"/>
      <c r="L1382" s="363"/>
      <c r="M1382" s="366"/>
      <c r="N1382" s="366"/>
      <c r="O1382" s="365"/>
      <c r="P1382" s="365"/>
      <c r="Q1382" s="192"/>
      <c r="S1382" s="209"/>
      <c r="T1382" s="209"/>
      <c r="U1382" s="192"/>
      <c r="Z1382" s="60"/>
      <c r="AA1382" s="60"/>
      <c r="AB1382" s="60"/>
      <c r="AC1382" s="60"/>
      <c r="AD1382" s="60"/>
      <c r="AE1382" s="60"/>
      <c r="AF1382" s="60"/>
      <c r="AG1382" s="60"/>
      <c r="AH1382" s="60"/>
      <c r="AI1382" s="60"/>
      <c r="AJ1382" s="60"/>
    </row>
    <row r="1383" spans="2:36" s="59" customFormat="1">
      <c r="B1383" s="203"/>
      <c r="D1383" s="186"/>
      <c r="F1383" s="209"/>
      <c r="G1383" s="209"/>
      <c r="H1383" s="209"/>
      <c r="I1383" s="209"/>
      <c r="J1383" s="209"/>
      <c r="K1383" s="191"/>
      <c r="L1383" s="363"/>
      <c r="M1383" s="366"/>
      <c r="N1383" s="366"/>
      <c r="O1383" s="365"/>
      <c r="P1383" s="365"/>
      <c r="Q1383" s="192"/>
      <c r="S1383" s="209"/>
      <c r="T1383" s="209"/>
      <c r="U1383" s="192"/>
      <c r="Z1383" s="60"/>
      <c r="AA1383" s="60"/>
      <c r="AB1383" s="60"/>
      <c r="AC1383" s="60"/>
      <c r="AD1383" s="60"/>
      <c r="AE1383" s="60"/>
      <c r="AF1383" s="60"/>
      <c r="AG1383" s="60"/>
      <c r="AH1383" s="60"/>
      <c r="AI1383" s="60"/>
      <c r="AJ1383" s="60"/>
    </row>
    <row r="1384" spans="2:36" s="59" customFormat="1">
      <c r="B1384" s="203"/>
      <c r="D1384" s="186"/>
      <c r="F1384" s="209"/>
      <c r="G1384" s="209"/>
      <c r="H1384" s="209"/>
      <c r="I1384" s="209"/>
      <c r="J1384" s="209"/>
      <c r="K1384" s="191"/>
      <c r="L1384" s="363"/>
      <c r="M1384" s="366"/>
      <c r="N1384" s="366"/>
      <c r="O1384" s="365"/>
      <c r="P1384" s="365"/>
      <c r="Q1384" s="192"/>
      <c r="S1384" s="209"/>
      <c r="T1384" s="209"/>
      <c r="U1384" s="192"/>
      <c r="Z1384" s="60"/>
      <c r="AA1384" s="60"/>
      <c r="AB1384" s="60"/>
      <c r="AC1384" s="60"/>
      <c r="AD1384" s="60"/>
      <c r="AE1384" s="60"/>
      <c r="AF1384" s="60"/>
      <c r="AG1384" s="60"/>
      <c r="AH1384" s="60"/>
      <c r="AI1384" s="60"/>
      <c r="AJ1384" s="60"/>
    </row>
    <row r="1385" spans="2:36" s="59" customFormat="1">
      <c r="B1385" s="203"/>
      <c r="D1385" s="186"/>
      <c r="F1385" s="209"/>
      <c r="G1385" s="209"/>
      <c r="H1385" s="209"/>
      <c r="I1385" s="209"/>
      <c r="J1385" s="209"/>
      <c r="K1385" s="191"/>
      <c r="L1385" s="363"/>
      <c r="M1385" s="366"/>
      <c r="N1385" s="366"/>
      <c r="O1385" s="365"/>
      <c r="P1385" s="365"/>
      <c r="Q1385" s="192"/>
      <c r="S1385" s="209"/>
      <c r="T1385" s="209"/>
      <c r="U1385" s="192"/>
      <c r="Z1385" s="60"/>
      <c r="AA1385" s="60"/>
      <c r="AB1385" s="60"/>
      <c r="AC1385" s="60"/>
      <c r="AD1385" s="60"/>
      <c r="AE1385" s="60"/>
      <c r="AF1385" s="60"/>
      <c r="AG1385" s="60"/>
      <c r="AH1385" s="60"/>
      <c r="AI1385" s="60"/>
      <c r="AJ1385" s="60"/>
    </row>
    <row r="1386" spans="2:36" s="59" customFormat="1">
      <c r="B1386" s="203"/>
      <c r="D1386" s="186"/>
      <c r="F1386" s="209"/>
      <c r="G1386" s="209"/>
      <c r="H1386" s="209"/>
      <c r="I1386" s="209"/>
      <c r="J1386" s="209"/>
      <c r="K1386" s="191"/>
      <c r="L1386" s="363"/>
      <c r="M1386" s="366"/>
      <c r="N1386" s="366"/>
      <c r="O1386" s="365"/>
      <c r="P1386" s="365"/>
      <c r="Q1386" s="192"/>
      <c r="S1386" s="209"/>
      <c r="T1386" s="209"/>
      <c r="U1386" s="192"/>
      <c r="Z1386" s="60"/>
      <c r="AA1386" s="60"/>
      <c r="AB1386" s="60"/>
      <c r="AC1386" s="60"/>
      <c r="AD1386" s="60"/>
      <c r="AE1386" s="60"/>
      <c r="AF1386" s="60"/>
      <c r="AG1386" s="60"/>
      <c r="AH1386" s="60"/>
      <c r="AI1386" s="60"/>
      <c r="AJ1386" s="60"/>
    </row>
    <row r="1387" spans="2:36" s="59" customFormat="1">
      <c r="B1387" s="203"/>
      <c r="D1387" s="186"/>
      <c r="F1387" s="209"/>
      <c r="G1387" s="209"/>
      <c r="H1387" s="209"/>
      <c r="I1387" s="209"/>
      <c r="J1387" s="209"/>
      <c r="K1387" s="191"/>
      <c r="L1387" s="363"/>
      <c r="M1387" s="366"/>
      <c r="N1387" s="366"/>
      <c r="O1387" s="365"/>
      <c r="P1387" s="365"/>
      <c r="Q1387" s="192"/>
      <c r="S1387" s="209"/>
      <c r="T1387" s="209"/>
      <c r="U1387" s="192"/>
      <c r="Z1387" s="60"/>
      <c r="AA1387" s="60"/>
      <c r="AB1387" s="60"/>
      <c r="AC1387" s="60"/>
      <c r="AD1387" s="60"/>
      <c r="AE1387" s="60"/>
      <c r="AF1387" s="60"/>
      <c r="AG1387" s="60"/>
      <c r="AH1387" s="60"/>
      <c r="AI1387" s="60"/>
      <c r="AJ1387" s="60"/>
    </row>
    <row r="1388" spans="2:36" s="59" customFormat="1">
      <c r="B1388" s="203"/>
      <c r="D1388" s="186"/>
      <c r="F1388" s="209"/>
      <c r="G1388" s="209"/>
      <c r="H1388" s="209"/>
      <c r="I1388" s="209"/>
      <c r="J1388" s="209"/>
      <c r="K1388" s="191"/>
      <c r="L1388" s="363"/>
      <c r="M1388" s="366"/>
      <c r="N1388" s="366"/>
      <c r="O1388" s="365"/>
      <c r="P1388" s="365"/>
      <c r="Q1388" s="192"/>
      <c r="S1388" s="209"/>
      <c r="T1388" s="209"/>
      <c r="U1388" s="192"/>
      <c r="Z1388" s="60"/>
      <c r="AA1388" s="60"/>
      <c r="AB1388" s="60"/>
      <c r="AC1388" s="60"/>
      <c r="AD1388" s="60"/>
      <c r="AE1388" s="60"/>
      <c r="AF1388" s="60"/>
      <c r="AG1388" s="60"/>
      <c r="AH1388" s="60"/>
      <c r="AI1388" s="60"/>
      <c r="AJ1388" s="60"/>
    </row>
    <row r="1389" spans="2:36" s="59" customFormat="1">
      <c r="B1389" s="203"/>
      <c r="D1389" s="186"/>
      <c r="F1389" s="209"/>
      <c r="G1389" s="209"/>
      <c r="H1389" s="209"/>
      <c r="I1389" s="209"/>
      <c r="J1389" s="209"/>
      <c r="K1389" s="191"/>
      <c r="L1389" s="363"/>
      <c r="M1389" s="366"/>
      <c r="N1389" s="366"/>
      <c r="O1389" s="365"/>
      <c r="P1389" s="365"/>
      <c r="Q1389" s="192"/>
      <c r="S1389" s="209"/>
      <c r="T1389" s="209"/>
      <c r="U1389" s="192"/>
      <c r="Z1389" s="60"/>
      <c r="AA1389" s="60"/>
      <c r="AB1389" s="60"/>
      <c r="AC1389" s="60"/>
      <c r="AD1389" s="60"/>
      <c r="AE1389" s="60"/>
      <c r="AF1389" s="60"/>
      <c r="AG1389" s="60"/>
      <c r="AH1389" s="60"/>
      <c r="AI1389" s="60"/>
      <c r="AJ1389" s="60"/>
    </row>
    <row r="1390" spans="2:36" s="59" customFormat="1">
      <c r="B1390" s="203"/>
      <c r="D1390" s="186"/>
      <c r="F1390" s="209"/>
      <c r="G1390" s="209"/>
      <c r="H1390" s="209"/>
      <c r="I1390" s="209"/>
      <c r="J1390" s="209"/>
      <c r="K1390" s="191"/>
      <c r="L1390" s="363"/>
      <c r="M1390" s="366"/>
      <c r="N1390" s="366"/>
      <c r="O1390" s="365"/>
      <c r="P1390" s="365"/>
      <c r="Q1390" s="192"/>
      <c r="S1390" s="209"/>
      <c r="T1390" s="209"/>
      <c r="U1390" s="192"/>
      <c r="Z1390" s="60"/>
      <c r="AA1390" s="60"/>
      <c r="AB1390" s="60"/>
      <c r="AC1390" s="60"/>
      <c r="AD1390" s="60"/>
      <c r="AE1390" s="60"/>
      <c r="AF1390" s="60"/>
      <c r="AG1390" s="60"/>
      <c r="AH1390" s="60"/>
      <c r="AI1390" s="60"/>
      <c r="AJ1390" s="60"/>
    </row>
  </sheetData>
  <sheetProtection sheet="1" selectLockedCells="1"/>
  <mergeCells count="411">
    <mergeCell ref="O464:Q464"/>
    <mergeCell ref="O69:Q69"/>
    <mergeCell ref="O70:Q70"/>
    <mergeCell ref="O71:Q71"/>
    <mergeCell ref="O72:Q72"/>
    <mergeCell ref="O73:Q73"/>
    <mergeCell ref="O74:Q74"/>
    <mergeCell ref="O75:Q75"/>
    <mergeCell ref="O76:Q76"/>
    <mergeCell ref="O77:Q77"/>
    <mergeCell ref="O78:Q78"/>
    <mergeCell ref="O89:Q89"/>
    <mergeCell ref="O90:Q90"/>
    <mergeCell ref="O79:Q79"/>
    <mergeCell ref="O80:Q80"/>
    <mergeCell ref="O81:Q81"/>
    <mergeCell ref="O82:Q82"/>
    <mergeCell ref="O83:Q83"/>
    <mergeCell ref="O84:Q84"/>
    <mergeCell ref="O101:Q101"/>
    <mergeCell ref="O102:Q102"/>
    <mergeCell ref="O103:Q103"/>
    <mergeCell ref="O104:Q104"/>
    <mergeCell ref="O88:Q88"/>
    <mergeCell ref="C4:D5"/>
    <mergeCell ref="O465:Q465"/>
    <mergeCell ref="D2:U2"/>
    <mergeCell ref="E4:E5"/>
    <mergeCell ref="F4:F5"/>
    <mergeCell ref="G4:G5"/>
    <mergeCell ref="H4:H5"/>
    <mergeCell ref="O457:Q457"/>
    <mergeCell ref="O458:Q458"/>
    <mergeCell ref="D20:G20"/>
    <mergeCell ref="E21:G21"/>
    <mergeCell ref="E22:G22"/>
    <mergeCell ref="B6:C6"/>
    <mergeCell ref="O459:Q459"/>
    <mergeCell ref="O460:Q460"/>
    <mergeCell ref="O461:Q461"/>
    <mergeCell ref="O462:Q462"/>
    <mergeCell ref="O463:Q463"/>
    <mergeCell ref="D99:G99"/>
    <mergeCell ref="O100:Q100"/>
    <mergeCell ref="O85:Q85"/>
    <mergeCell ref="O86:Q86"/>
    <mergeCell ref="O87:Q87"/>
    <mergeCell ref="Q12:U12"/>
    <mergeCell ref="O106:Q106"/>
    <mergeCell ref="O91:Q91"/>
    <mergeCell ref="O92:Q92"/>
    <mergeCell ref="O93:Q93"/>
    <mergeCell ref="O94:Q94"/>
    <mergeCell ref="O113:Q113"/>
    <mergeCell ref="O114:Q114"/>
    <mergeCell ref="O115:Q115"/>
    <mergeCell ref="O105:Q105"/>
    <mergeCell ref="O116:Q116"/>
    <mergeCell ref="O117:Q117"/>
    <mergeCell ref="O118:Q118"/>
    <mergeCell ref="O107:Q107"/>
    <mergeCell ref="O108:Q108"/>
    <mergeCell ref="O109:Q109"/>
    <mergeCell ref="O110:Q110"/>
    <mergeCell ref="O111:Q111"/>
    <mergeCell ref="O112:Q112"/>
    <mergeCell ref="O125:Q125"/>
    <mergeCell ref="O126:Q126"/>
    <mergeCell ref="O127:Q127"/>
    <mergeCell ref="O128:Q128"/>
    <mergeCell ref="O129:Q129"/>
    <mergeCell ref="O130:Q130"/>
    <mergeCell ref="O119:Q119"/>
    <mergeCell ref="O120:Q120"/>
    <mergeCell ref="O121:Q121"/>
    <mergeCell ref="O122:Q122"/>
    <mergeCell ref="O123:Q123"/>
    <mergeCell ref="O124:Q124"/>
    <mergeCell ref="O141:Q141"/>
    <mergeCell ref="O142:Q142"/>
    <mergeCell ref="O143:Q143"/>
    <mergeCell ref="O144:Q144"/>
    <mergeCell ref="O145:Q145"/>
    <mergeCell ref="O146:Q146"/>
    <mergeCell ref="D135:G135"/>
    <mergeCell ref="O136:Q136"/>
    <mergeCell ref="O137:Q137"/>
    <mergeCell ref="O138:Q138"/>
    <mergeCell ref="O139:Q139"/>
    <mergeCell ref="O140:Q140"/>
    <mergeCell ref="O153:Q153"/>
    <mergeCell ref="O154:Q154"/>
    <mergeCell ref="O155:Q155"/>
    <mergeCell ref="O156:Q156"/>
    <mergeCell ref="O157:Q157"/>
    <mergeCell ref="O158:Q158"/>
    <mergeCell ref="O147:Q147"/>
    <mergeCell ref="O148:Q148"/>
    <mergeCell ref="O149:Q149"/>
    <mergeCell ref="O150:Q150"/>
    <mergeCell ref="O151:Q151"/>
    <mergeCell ref="O152:Q152"/>
    <mergeCell ref="O165:Q165"/>
    <mergeCell ref="O166:Q166"/>
    <mergeCell ref="D171:G171"/>
    <mergeCell ref="O172:Q172"/>
    <mergeCell ref="O173:Q173"/>
    <mergeCell ref="O174:Q174"/>
    <mergeCell ref="O159:Q159"/>
    <mergeCell ref="O160:Q160"/>
    <mergeCell ref="O161:Q161"/>
    <mergeCell ref="O162:Q162"/>
    <mergeCell ref="O163:Q163"/>
    <mergeCell ref="O164:Q164"/>
    <mergeCell ref="O181:Q181"/>
    <mergeCell ref="O182:Q182"/>
    <mergeCell ref="O183:Q183"/>
    <mergeCell ref="O184:Q184"/>
    <mergeCell ref="O185:Q185"/>
    <mergeCell ref="O186:Q186"/>
    <mergeCell ref="O175:Q175"/>
    <mergeCell ref="O176:Q176"/>
    <mergeCell ref="O177:Q177"/>
    <mergeCell ref="O178:Q178"/>
    <mergeCell ref="O179:Q179"/>
    <mergeCell ref="O180:Q180"/>
    <mergeCell ref="D207:G207"/>
    <mergeCell ref="O208:Q208"/>
    <mergeCell ref="O193:Q193"/>
    <mergeCell ref="O194:Q194"/>
    <mergeCell ref="O195:Q195"/>
    <mergeCell ref="O196:Q196"/>
    <mergeCell ref="O197:Q197"/>
    <mergeCell ref="O198:Q198"/>
    <mergeCell ref="O187:Q187"/>
    <mergeCell ref="O188:Q188"/>
    <mergeCell ref="O189:Q189"/>
    <mergeCell ref="O190:Q190"/>
    <mergeCell ref="O191:Q191"/>
    <mergeCell ref="O192:Q192"/>
    <mergeCell ref="O209:Q209"/>
    <mergeCell ref="O210:Q210"/>
    <mergeCell ref="O211:Q211"/>
    <mergeCell ref="O212:Q212"/>
    <mergeCell ref="O213:Q213"/>
    <mergeCell ref="O214:Q214"/>
    <mergeCell ref="O199:Q199"/>
    <mergeCell ref="O200:Q200"/>
    <mergeCell ref="O201:Q201"/>
    <mergeCell ref="O202:Q202"/>
    <mergeCell ref="O221:Q221"/>
    <mergeCell ref="O222:Q222"/>
    <mergeCell ref="O223:Q223"/>
    <mergeCell ref="O224:Q224"/>
    <mergeCell ref="O225:Q225"/>
    <mergeCell ref="O226:Q226"/>
    <mergeCell ref="O215:Q215"/>
    <mergeCell ref="O216:Q216"/>
    <mergeCell ref="O217:Q217"/>
    <mergeCell ref="O218:Q218"/>
    <mergeCell ref="O219:Q219"/>
    <mergeCell ref="O220:Q220"/>
    <mergeCell ref="O233:Q233"/>
    <mergeCell ref="O234:Q234"/>
    <mergeCell ref="O235:Q235"/>
    <mergeCell ref="O236:Q236"/>
    <mergeCell ref="O237:Q237"/>
    <mergeCell ref="O238:Q238"/>
    <mergeCell ref="O227:Q227"/>
    <mergeCell ref="O228:Q228"/>
    <mergeCell ref="O229:Q229"/>
    <mergeCell ref="O230:Q230"/>
    <mergeCell ref="O231:Q231"/>
    <mergeCell ref="O232:Q232"/>
    <mergeCell ref="O249:Q249"/>
    <mergeCell ref="O250:Q250"/>
    <mergeCell ref="O251:Q251"/>
    <mergeCell ref="O252:Q252"/>
    <mergeCell ref="O253:Q253"/>
    <mergeCell ref="O254:Q254"/>
    <mergeCell ref="D243:G243"/>
    <mergeCell ref="O244:Q244"/>
    <mergeCell ref="O245:Q245"/>
    <mergeCell ref="O246:Q246"/>
    <mergeCell ref="O247:Q247"/>
    <mergeCell ref="O248:Q248"/>
    <mergeCell ref="O261:Q261"/>
    <mergeCell ref="O262:Q262"/>
    <mergeCell ref="O263:Q263"/>
    <mergeCell ref="O264:Q264"/>
    <mergeCell ref="O265:Q265"/>
    <mergeCell ref="O266:Q266"/>
    <mergeCell ref="O255:Q255"/>
    <mergeCell ref="O256:Q256"/>
    <mergeCell ref="O257:Q257"/>
    <mergeCell ref="O258:Q258"/>
    <mergeCell ref="O259:Q259"/>
    <mergeCell ref="O260:Q260"/>
    <mergeCell ref="O273:Q273"/>
    <mergeCell ref="O274:Q274"/>
    <mergeCell ref="D279:G279"/>
    <mergeCell ref="O280:Q280"/>
    <mergeCell ref="O281:Q281"/>
    <mergeCell ref="O282:Q282"/>
    <mergeCell ref="O267:Q267"/>
    <mergeCell ref="O268:Q268"/>
    <mergeCell ref="O269:Q269"/>
    <mergeCell ref="O270:Q270"/>
    <mergeCell ref="O271:Q271"/>
    <mergeCell ref="O272:Q272"/>
    <mergeCell ref="O289:Q289"/>
    <mergeCell ref="O290:Q290"/>
    <mergeCell ref="O291:Q291"/>
    <mergeCell ref="O292:Q292"/>
    <mergeCell ref="O293:Q293"/>
    <mergeCell ref="O294:Q294"/>
    <mergeCell ref="O283:Q283"/>
    <mergeCell ref="O284:Q284"/>
    <mergeCell ref="O285:Q285"/>
    <mergeCell ref="O286:Q286"/>
    <mergeCell ref="O287:Q287"/>
    <mergeCell ref="O288:Q288"/>
    <mergeCell ref="D315:G315"/>
    <mergeCell ref="O316:Q316"/>
    <mergeCell ref="O301:Q301"/>
    <mergeCell ref="O302:Q302"/>
    <mergeCell ref="O303:Q303"/>
    <mergeCell ref="O304:Q304"/>
    <mergeCell ref="O305:Q305"/>
    <mergeCell ref="O306:Q306"/>
    <mergeCell ref="O295:Q295"/>
    <mergeCell ref="O296:Q296"/>
    <mergeCell ref="O297:Q297"/>
    <mergeCell ref="O298:Q298"/>
    <mergeCell ref="O299:Q299"/>
    <mergeCell ref="O300:Q300"/>
    <mergeCell ref="O317:Q317"/>
    <mergeCell ref="O318:Q318"/>
    <mergeCell ref="O319:Q319"/>
    <mergeCell ref="O320:Q320"/>
    <mergeCell ref="O321:Q321"/>
    <mergeCell ref="O322:Q322"/>
    <mergeCell ref="O307:Q307"/>
    <mergeCell ref="O308:Q308"/>
    <mergeCell ref="O309:Q309"/>
    <mergeCell ref="O310:Q310"/>
    <mergeCell ref="O329:Q329"/>
    <mergeCell ref="O330:Q330"/>
    <mergeCell ref="O331:Q331"/>
    <mergeCell ref="O332:Q332"/>
    <mergeCell ref="O333:Q333"/>
    <mergeCell ref="O334:Q334"/>
    <mergeCell ref="O323:Q323"/>
    <mergeCell ref="O324:Q324"/>
    <mergeCell ref="O325:Q325"/>
    <mergeCell ref="O326:Q326"/>
    <mergeCell ref="O327:Q327"/>
    <mergeCell ref="O328:Q328"/>
    <mergeCell ref="O341:Q341"/>
    <mergeCell ref="O342:Q342"/>
    <mergeCell ref="O343:Q343"/>
    <mergeCell ref="O344:Q344"/>
    <mergeCell ref="O345:Q345"/>
    <mergeCell ref="O346:Q346"/>
    <mergeCell ref="O335:Q335"/>
    <mergeCell ref="O336:Q336"/>
    <mergeCell ref="O337:Q337"/>
    <mergeCell ref="O338:Q338"/>
    <mergeCell ref="O339:Q339"/>
    <mergeCell ref="O340:Q340"/>
    <mergeCell ref="O357:Q357"/>
    <mergeCell ref="O358:Q358"/>
    <mergeCell ref="O359:Q359"/>
    <mergeCell ref="O360:Q360"/>
    <mergeCell ref="O361:Q361"/>
    <mergeCell ref="O362:Q362"/>
    <mergeCell ref="D351:G351"/>
    <mergeCell ref="O352:Q352"/>
    <mergeCell ref="O353:Q353"/>
    <mergeCell ref="O354:Q354"/>
    <mergeCell ref="O355:Q355"/>
    <mergeCell ref="O356:Q356"/>
    <mergeCell ref="O369:Q369"/>
    <mergeCell ref="O370:Q370"/>
    <mergeCell ref="O371:Q371"/>
    <mergeCell ref="O372:Q372"/>
    <mergeCell ref="O373:Q373"/>
    <mergeCell ref="O374:Q374"/>
    <mergeCell ref="O363:Q363"/>
    <mergeCell ref="O364:Q364"/>
    <mergeCell ref="O365:Q365"/>
    <mergeCell ref="O366:Q366"/>
    <mergeCell ref="O367:Q367"/>
    <mergeCell ref="O368:Q368"/>
    <mergeCell ref="O381:Q381"/>
    <mergeCell ref="O382:Q382"/>
    <mergeCell ref="D387:G387"/>
    <mergeCell ref="O388:Q388"/>
    <mergeCell ref="O389:Q389"/>
    <mergeCell ref="O390:Q390"/>
    <mergeCell ref="O375:Q375"/>
    <mergeCell ref="O376:Q376"/>
    <mergeCell ref="O377:Q377"/>
    <mergeCell ref="O378:Q378"/>
    <mergeCell ref="O379:Q379"/>
    <mergeCell ref="O380:Q380"/>
    <mergeCell ref="D423:G423"/>
    <mergeCell ref="O424:Q424"/>
    <mergeCell ref="O409:Q409"/>
    <mergeCell ref="O410:Q410"/>
    <mergeCell ref="O411:Q411"/>
    <mergeCell ref="O412:Q412"/>
    <mergeCell ref="O413:Q413"/>
    <mergeCell ref="O414:Q414"/>
    <mergeCell ref="O403:Q403"/>
    <mergeCell ref="O404:Q404"/>
    <mergeCell ref="O405:Q405"/>
    <mergeCell ref="O406:Q406"/>
    <mergeCell ref="O407:Q407"/>
    <mergeCell ref="O408:Q408"/>
    <mergeCell ref="O442:Q442"/>
    <mergeCell ref="O431:Q431"/>
    <mergeCell ref="O432:Q432"/>
    <mergeCell ref="O433:Q433"/>
    <mergeCell ref="O434:Q434"/>
    <mergeCell ref="O435:Q435"/>
    <mergeCell ref="O401:Q401"/>
    <mergeCell ref="O402:Q402"/>
    <mergeCell ref="O391:Q391"/>
    <mergeCell ref="O392:Q392"/>
    <mergeCell ref="O393:Q393"/>
    <mergeCell ref="O394:Q394"/>
    <mergeCell ref="O395:Q395"/>
    <mergeCell ref="O396:Q396"/>
    <mergeCell ref="O397:Q397"/>
    <mergeCell ref="O398:Q398"/>
    <mergeCell ref="O399:Q399"/>
    <mergeCell ref="O400:Q400"/>
    <mergeCell ref="O415:Q415"/>
    <mergeCell ref="O416:Q416"/>
    <mergeCell ref="O417:Q417"/>
    <mergeCell ref="O418:Q418"/>
    <mergeCell ref="O450:Q450"/>
    <mergeCell ref="O451:Q451"/>
    <mergeCell ref="O452:Q452"/>
    <mergeCell ref="O453:Q453"/>
    <mergeCell ref="O454:Q454"/>
    <mergeCell ref="O449:Q449"/>
    <mergeCell ref="O436:Q436"/>
    <mergeCell ref="O425:Q425"/>
    <mergeCell ref="O426:Q426"/>
    <mergeCell ref="O427:Q427"/>
    <mergeCell ref="O428:Q428"/>
    <mergeCell ref="O429:Q429"/>
    <mergeCell ref="O430:Q430"/>
    <mergeCell ref="O443:Q443"/>
    <mergeCell ref="O444:Q444"/>
    <mergeCell ref="O445:Q445"/>
    <mergeCell ref="O446:Q446"/>
    <mergeCell ref="O447:Q447"/>
    <mergeCell ref="O448:Q448"/>
    <mergeCell ref="O437:Q437"/>
    <mergeCell ref="O438:Q438"/>
    <mergeCell ref="O439:Q439"/>
    <mergeCell ref="O440:Q440"/>
    <mergeCell ref="O441:Q441"/>
    <mergeCell ref="P25:Q25"/>
    <mergeCell ref="P23:Q23"/>
    <mergeCell ref="P24:Q24"/>
    <mergeCell ref="I4:I5"/>
    <mergeCell ref="K5:N5"/>
    <mergeCell ref="K6:N6"/>
    <mergeCell ref="K7:N7"/>
    <mergeCell ref="K12:N12"/>
    <mergeCell ref="K11:N11"/>
    <mergeCell ref="K10:N10"/>
    <mergeCell ref="K9:N9"/>
    <mergeCell ref="K8:N8"/>
    <mergeCell ref="P15:Q15"/>
    <mergeCell ref="P14:Q14"/>
    <mergeCell ref="Q5:U5"/>
    <mergeCell ref="Q6:U6"/>
    <mergeCell ref="Q7:U7"/>
    <mergeCell ref="Q8:U8"/>
    <mergeCell ref="Q9:U9"/>
    <mergeCell ref="Q10:U10"/>
    <mergeCell ref="Q11:U11"/>
    <mergeCell ref="D24:H24"/>
    <mergeCell ref="S17:U17"/>
    <mergeCell ref="S18:T18"/>
    <mergeCell ref="S19:T19"/>
    <mergeCell ref="S20:T20"/>
    <mergeCell ref="S21:T21"/>
    <mergeCell ref="S22:T22"/>
    <mergeCell ref="S23:T23"/>
    <mergeCell ref="S15:U15"/>
    <mergeCell ref="E14:I18"/>
    <mergeCell ref="S14:U14"/>
    <mergeCell ref="K20:L20"/>
    <mergeCell ref="K19:L19"/>
    <mergeCell ref="K18:L18"/>
    <mergeCell ref="K17:L17"/>
    <mergeCell ref="K22:L22"/>
    <mergeCell ref="K14:L14"/>
    <mergeCell ref="K15:L15"/>
    <mergeCell ref="P21:Q21"/>
    <mergeCell ref="P22:Q22"/>
    <mergeCell ref="P19:Q19"/>
    <mergeCell ref="P20:Q20"/>
    <mergeCell ref="P17:Q17"/>
    <mergeCell ref="P16:Q16"/>
  </mergeCells>
  <conditionalFormatting sqref="D7:D12">
    <cfRule type="expression" dxfId="132" priority="91">
      <formula>WEEKDAY(D7,2)&gt;6</formula>
    </cfRule>
  </conditionalFormatting>
  <conditionalFormatting sqref="D69:D95 D100:D131 D136:D167 D172:D203 D208:D239 D244:D275 D280:D311 D316:D347 D352:D383 D388:D419 D424:D455">
    <cfRule type="expression" dxfId="131" priority="176" stopIfTrue="1">
      <formula>$F69&gt;0</formula>
    </cfRule>
  </conditionalFormatting>
  <conditionalFormatting sqref="D24:H24">
    <cfRule type="expression" dxfId="130" priority="3">
      <formula>$H$22&lt;&gt;2</formula>
    </cfRule>
  </conditionalFormatting>
  <conditionalFormatting sqref="E6:E12">
    <cfRule type="expression" dxfId="129" priority="10">
      <formula>$E6=1</formula>
    </cfRule>
  </conditionalFormatting>
  <conditionalFormatting sqref="E69:E92 E100:E130 E136:E165 E172:E202 E208:E237 E244:E274 E280:E310 E316:E345 E352:E382 E388:E417 E424:E454">
    <cfRule type="cellIs" dxfId="128" priority="187" stopIfTrue="1" operator="equal">
      <formula>1</formula>
    </cfRule>
  </conditionalFormatting>
  <conditionalFormatting sqref="E93:E95 E131 E167 E203 E239 E275 E311 E347 E383 E419 E455">
    <cfRule type="expression" dxfId="127" priority="188" stopIfTrue="1">
      <formula>"#n"/"a"</formula>
    </cfRule>
  </conditionalFormatting>
  <conditionalFormatting sqref="E99">
    <cfRule type="expression" dxfId="126" priority="190" stopIfTrue="1">
      <formula>$F99</formula>
    </cfRule>
  </conditionalFormatting>
  <conditionalFormatting sqref="E135">
    <cfRule type="expression" dxfId="125" priority="191" stopIfTrue="1">
      <formula>$F135</formula>
    </cfRule>
  </conditionalFormatting>
  <conditionalFormatting sqref="E166">
    <cfRule type="expression" dxfId="124" priority="192" stopIfTrue="1">
      <formula>$F166</formula>
    </cfRule>
  </conditionalFormatting>
  <conditionalFormatting sqref="E171">
    <cfRule type="expression" dxfId="123" priority="193" stopIfTrue="1">
      <formula>$F171</formula>
    </cfRule>
  </conditionalFormatting>
  <conditionalFormatting sqref="E207">
    <cfRule type="expression" dxfId="122" priority="194" stopIfTrue="1">
      <formula>$F207</formula>
    </cfRule>
  </conditionalFormatting>
  <conditionalFormatting sqref="E238">
    <cfRule type="expression" dxfId="121" priority="195" stopIfTrue="1">
      <formula>$F238</formula>
    </cfRule>
  </conditionalFormatting>
  <conditionalFormatting sqref="E243">
    <cfRule type="expression" dxfId="120" priority="196" stopIfTrue="1">
      <formula>$F243</formula>
    </cfRule>
  </conditionalFormatting>
  <conditionalFormatting sqref="E279">
    <cfRule type="expression" dxfId="119" priority="197" stopIfTrue="1">
      <formula>$F279</formula>
    </cfRule>
  </conditionalFormatting>
  <conditionalFormatting sqref="E315">
    <cfRule type="expression" dxfId="118" priority="198" stopIfTrue="1">
      <formula>$F315</formula>
    </cfRule>
  </conditionalFormatting>
  <conditionalFormatting sqref="E346">
    <cfRule type="expression" dxfId="117" priority="199" stopIfTrue="1">
      <formula>$F346</formula>
    </cfRule>
  </conditionalFormatting>
  <conditionalFormatting sqref="E351">
    <cfRule type="expression" dxfId="116" priority="200" stopIfTrue="1">
      <formula>$F351</formula>
    </cfRule>
  </conditionalFormatting>
  <conditionalFormatting sqref="E387">
    <cfRule type="expression" dxfId="115" priority="201" stopIfTrue="1">
      <formula>$F387</formula>
    </cfRule>
  </conditionalFormatting>
  <conditionalFormatting sqref="E418">
    <cfRule type="expression" dxfId="114" priority="202" stopIfTrue="1">
      <formula>$F418</formula>
    </cfRule>
  </conditionalFormatting>
  <conditionalFormatting sqref="E423">
    <cfRule type="expression" dxfId="113" priority="203" stopIfTrue="1">
      <formula>$F423</formula>
    </cfRule>
  </conditionalFormatting>
  <conditionalFormatting sqref="E457:E465">
    <cfRule type="cellIs" dxfId="112" priority="78" stopIfTrue="1" operator="equal">
      <formula>1</formula>
    </cfRule>
  </conditionalFormatting>
  <conditionalFormatting sqref="F69:F95 H69:K95 G93:G95 F100:F131 H100:K131 G131:J131 F167:K167 F203:J203 F239:K239 F275:J275 F311:J311 F347:K347 F383:J383 F419:K419 F455:J455">
    <cfRule type="expression" dxfId="111" priority="103" stopIfTrue="1">
      <formula>"#n"/"a"</formula>
    </cfRule>
  </conditionalFormatting>
  <conditionalFormatting sqref="F136:F166">
    <cfRule type="expression" dxfId="110" priority="108" stopIfTrue="1">
      <formula>$F136&gt;0</formula>
    </cfRule>
  </conditionalFormatting>
  <conditionalFormatting sqref="F172:F202">
    <cfRule type="expression" dxfId="109" priority="110" stopIfTrue="1">
      <formula>$F172&gt;0</formula>
    </cfRule>
  </conditionalFormatting>
  <conditionalFormatting sqref="F208:F238">
    <cfRule type="expression" dxfId="108" priority="109" stopIfTrue="1">
      <formula>$F208&gt;0</formula>
    </cfRule>
  </conditionalFormatting>
  <conditionalFormatting sqref="F280:F310">
    <cfRule type="expression" dxfId="107" priority="96" stopIfTrue="1">
      <formula>$F280&gt;0</formula>
    </cfRule>
  </conditionalFormatting>
  <conditionalFormatting sqref="F316:F345">
    <cfRule type="expression" dxfId="106" priority="97" stopIfTrue="1">
      <formula>$F316&gt;0</formula>
    </cfRule>
  </conditionalFormatting>
  <conditionalFormatting sqref="F352:F382">
    <cfRule type="expression" dxfId="105" priority="99" stopIfTrue="1">
      <formula>$F352&gt;0</formula>
    </cfRule>
  </conditionalFormatting>
  <conditionalFormatting sqref="F388:F417">
    <cfRule type="expression" dxfId="104" priority="100" stopIfTrue="1">
      <formula>$F388&gt;0</formula>
    </cfRule>
  </conditionalFormatting>
  <conditionalFormatting sqref="F424:F454">
    <cfRule type="expression" dxfId="103" priority="102" stopIfTrue="1">
      <formula>$F424&gt;0</formula>
    </cfRule>
  </conditionalFormatting>
  <conditionalFormatting sqref="G6:G12">
    <cfRule type="cellIs" dxfId="102" priority="32" operator="greaterThan">
      <formula>0</formula>
    </cfRule>
    <cfRule type="cellIs" dxfId="101" priority="36" operator="equal">
      <formula>0</formula>
    </cfRule>
  </conditionalFormatting>
  <conditionalFormatting sqref="G69:G92 G100:G130 G136:G165 G172:G202 G208:G237 G244:G274 G280:G310 G316:G345 G352:G382 G388:G417 G424:G454">
    <cfRule type="cellIs" dxfId="100" priority="107" stopIfTrue="1" operator="notEqual">
      <formula>1</formula>
    </cfRule>
    <cfRule type="cellIs" dxfId="99" priority="106" stopIfTrue="1" operator="equal">
      <formula>1</formula>
    </cfRule>
  </conditionalFormatting>
  <conditionalFormatting sqref="G457:G465">
    <cfRule type="cellIs" dxfId="98" priority="75" stopIfTrue="1" operator="notEqual">
      <formula>1</formula>
    </cfRule>
    <cfRule type="cellIs" dxfId="97" priority="74" stopIfTrue="1" operator="equal">
      <formula>1</formula>
    </cfRule>
  </conditionalFormatting>
  <conditionalFormatting sqref="H136:J166 G166:I166 H172:J202 H208:J238 G238:I238 F244:F274">
    <cfRule type="expression" dxfId="96" priority="95" stopIfTrue="1">
      <formula>$F136&gt;0</formula>
    </cfRule>
  </conditionalFormatting>
  <conditionalFormatting sqref="H244:J274">
    <cfRule type="expression" dxfId="95" priority="111" stopIfTrue="1">
      <formula>$F244&gt;0</formula>
    </cfRule>
  </conditionalFormatting>
  <conditionalFormatting sqref="H280:J310">
    <cfRule type="expression" dxfId="94" priority="112" stopIfTrue="1">
      <formula>$F280&gt;0</formula>
    </cfRule>
  </conditionalFormatting>
  <conditionalFormatting sqref="H316:J346 F346:I346">
    <cfRule type="expression" dxfId="93" priority="98" stopIfTrue="1">
      <formula>"#n"/"a"</formula>
    </cfRule>
  </conditionalFormatting>
  <conditionalFormatting sqref="H352:J382">
    <cfRule type="expression" dxfId="92" priority="113" stopIfTrue="1">
      <formula>$F352&gt;0</formula>
    </cfRule>
  </conditionalFormatting>
  <conditionalFormatting sqref="H388:J418 F418:I418">
    <cfRule type="expression" dxfId="91" priority="101" stopIfTrue="1">
      <formula>"#n"/"a"</formula>
    </cfRule>
  </conditionalFormatting>
  <conditionalFormatting sqref="H424:J454">
    <cfRule type="expression" dxfId="90" priority="114" stopIfTrue="1">
      <formula>$F424&gt;0</formula>
    </cfRule>
  </conditionalFormatting>
  <conditionalFormatting sqref="K23">
    <cfRule type="expression" dxfId="89" priority="29">
      <formula>$K$23&gt;""</formula>
    </cfRule>
  </conditionalFormatting>
  <conditionalFormatting sqref="K24">
    <cfRule type="expression" dxfId="88" priority="25">
      <formula>$K$25&gt;""</formula>
    </cfRule>
  </conditionalFormatting>
  <conditionalFormatting sqref="K25:K26">
    <cfRule type="cellIs" dxfId="87" priority="26" operator="greaterThan">
      <formula>""</formula>
    </cfRule>
  </conditionalFormatting>
  <conditionalFormatting sqref="K136:K165 K172:K203 K208:K237 K244:K275 K280:K311 K316:K345 K352:K383 K388:K417 K424:K455">
    <cfRule type="expression" dxfId="86" priority="116" stopIfTrue="1">
      <formula>"#n"/"a"</formula>
    </cfRule>
  </conditionalFormatting>
  <conditionalFormatting sqref="K166">
    <cfRule type="expression" dxfId="85" priority="117" stopIfTrue="1">
      <formula>$F166&gt;0</formula>
    </cfRule>
  </conditionalFormatting>
  <conditionalFormatting sqref="K238">
    <cfRule type="expression" dxfId="84" priority="118" stopIfTrue="1">
      <formula>$F238&gt;0</formula>
    </cfRule>
  </conditionalFormatting>
  <conditionalFormatting sqref="K346">
    <cfRule type="expression" dxfId="83" priority="119" stopIfTrue="1">
      <formula>$F346&gt;0</formula>
    </cfRule>
  </conditionalFormatting>
  <conditionalFormatting sqref="K418">
    <cfRule type="expression" dxfId="82" priority="120" stopIfTrue="1">
      <formula>$F418&gt;0</formula>
    </cfRule>
  </conditionalFormatting>
  <conditionalFormatting sqref="K457:K465">
    <cfRule type="expression" dxfId="81" priority="72" stopIfTrue="1">
      <formula>"#n"/"a"</formula>
    </cfRule>
  </conditionalFormatting>
  <conditionalFormatting sqref="K14:L14">
    <cfRule type="expression" dxfId="80" priority="61">
      <formula>$K$15&gt;""</formula>
    </cfRule>
  </conditionalFormatting>
  <conditionalFormatting sqref="K15:L15">
    <cfRule type="expression" dxfId="79" priority="58">
      <formula>$K$15&gt;""</formula>
    </cfRule>
  </conditionalFormatting>
  <conditionalFormatting sqref="K22:L22">
    <cfRule type="expression" dxfId="78" priority="55">
      <formula>$K$22&gt;""</formula>
    </cfRule>
  </conditionalFormatting>
  <conditionalFormatting sqref="K6:N6">
    <cfRule type="expression" dxfId="77" priority="2">
      <formula>$K$6&gt;""</formula>
    </cfRule>
  </conditionalFormatting>
  <conditionalFormatting sqref="L69:L95 L100:L131 L136:L167 L172:L203 L208:L239 L244:L275 L280:L311 L316:L347 L352:L383 L388:L419 L424:L455">
    <cfRule type="expression" dxfId="76" priority="121" stopIfTrue="1">
      <formula>$M69&gt;0</formula>
    </cfRule>
  </conditionalFormatting>
  <conditionalFormatting sqref="L457:L465">
    <cfRule type="expression" dxfId="75" priority="62" stopIfTrue="1">
      <formula>$M457&gt;0</formula>
    </cfRule>
  </conditionalFormatting>
  <conditionalFormatting sqref="M69:N95 O95:Q95 M100:N131 O131:Q131 M167:Q167 M203:Q203 M239:Q239 M275:Q275 M311:Q311 M347:Q347 M383:Q383 M419:Q419 M455:Q455">
    <cfRule type="expression" dxfId="74" priority="131" stopIfTrue="1">
      <formula>$M69&gt;0</formula>
    </cfRule>
  </conditionalFormatting>
  <conditionalFormatting sqref="M136:P166">
    <cfRule type="expression" dxfId="73" priority="132" stopIfTrue="1">
      <formula>$M136&gt;0</formula>
    </cfRule>
  </conditionalFormatting>
  <conditionalFormatting sqref="M172:P202">
    <cfRule type="expression" dxfId="72" priority="133" stopIfTrue="1">
      <formula>$M172&gt;0</formula>
    </cfRule>
  </conditionalFormatting>
  <conditionalFormatting sqref="M208:P238">
    <cfRule type="expression" dxfId="71" priority="134" stopIfTrue="1">
      <formula>$M208&gt;0</formula>
    </cfRule>
  </conditionalFormatting>
  <conditionalFormatting sqref="M244:P274">
    <cfRule type="expression" dxfId="70" priority="135" stopIfTrue="1">
      <formula>$M244&gt;0</formula>
    </cfRule>
  </conditionalFormatting>
  <conditionalFormatting sqref="M280:P310">
    <cfRule type="expression" dxfId="69" priority="136" stopIfTrue="1">
      <formula>$M280&gt;0</formula>
    </cfRule>
  </conditionalFormatting>
  <conditionalFormatting sqref="M316:P346">
    <cfRule type="expression" dxfId="68" priority="137" stopIfTrue="1">
      <formula>$M316&gt;0</formula>
    </cfRule>
  </conditionalFormatting>
  <conditionalFormatting sqref="M352:P382">
    <cfRule type="expression" dxfId="67" priority="138" stopIfTrue="1">
      <formula>$M352&gt;0</formula>
    </cfRule>
  </conditionalFormatting>
  <conditionalFormatting sqref="M388:P418">
    <cfRule type="expression" dxfId="66" priority="139" stopIfTrue="1">
      <formula>$M388&gt;0</formula>
    </cfRule>
  </conditionalFormatting>
  <conditionalFormatting sqref="M424:P454">
    <cfRule type="expression" dxfId="65" priority="140" stopIfTrue="1">
      <formula>$M424&gt;0</formula>
    </cfRule>
  </conditionalFormatting>
  <conditionalFormatting sqref="M457:P465">
    <cfRule type="expression" dxfId="64" priority="63" stopIfTrue="1">
      <formula>$M457&gt;0</formula>
    </cfRule>
  </conditionalFormatting>
  <conditionalFormatting sqref="O69:P94">
    <cfRule type="expression" dxfId="63" priority="143" stopIfTrue="1">
      <formula>$M69&gt;0</formula>
    </cfRule>
  </conditionalFormatting>
  <conditionalFormatting sqref="O100:P130">
    <cfRule type="expression" dxfId="62" priority="144" stopIfTrue="1">
      <formula>$M100&gt;0</formula>
    </cfRule>
  </conditionalFormatting>
  <conditionalFormatting sqref="P25">
    <cfRule type="expression" dxfId="61" priority="8">
      <formula>AF9&gt;""</formula>
    </cfRule>
  </conditionalFormatting>
  <conditionalFormatting sqref="P27">
    <cfRule type="expression" dxfId="60" priority="28">
      <formula>AF11&gt;""</formula>
    </cfRule>
  </conditionalFormatting>
  <conditionalFormatting sqref="P14:Q14">
    <cfRule type="expression" dxfId="59" priority="53">
      <formula>X14&gt;0</formula>
    </cfRule>
  </conditionalFormatting>
  <conditionalFormatting sqref="P15:Q17">
    <cfRule type="expression" dxfId="58" priority="50">
      <formula>AC6&gt;""</formula>
    </cfRule>
  </conditionalFormatting>
  <conditionalFormatting sqref="P19:Q19">
    <cfRule type="expression" dxfId="57" priority="41">
      <formula>P20&gt;""</formula>
    </cfRule>
  </conditionalFormatting>
  <conditionalFormatting sqref="P20:Q20">
    <cfRule type="cellIs" dxfId="56" priority="81" operator="greaterThan">
      <formula>""""""</formula>
    </cfRule>
  </conditionalFormatting>
  <conditionalFormatting sqref="P21:Q21">
    <cfRule type="expression" dxfId="55" priority="40">
      <formula>P22&gt;""</formula>
    </cfRule>
  </conditionalFormatting>
  <conditionalFormatting sqref="P22:Q24">
    <cfRule type="expression" dxfId="54" priority="6">
      <formula>AF6&gt;""</formula>
    </cfRule>
  </conditionalFormatting>
  <conditionalFormatting sqref="P25:Q25">
    <cfRule type="expression" dxfId="53" priority="7">
      <formula>$P$25&gt;""</formula>
    </cfRule>
  </conditionalFormatting>
  <conditionalFormatting sqref="Q25">
    <cfRule type="expression" dxfId="52" priority="428">
      <formula>#REF!&gt;""</formula>
    </cfRule>
  </conditionalFormatting>
  <conditionalFormatting sqref="Q29:Q68">
    <cfRule type="expression" dxfId="51" priority="23">
      <formula>AF13&gt;""</formula>
    </cfRule>
  </conditionalFormatting>
  <conditionalFormatting sqref="Q6:U6">
    <cfRule type="expression" dxfId="50" priority="1">
      <formula>$Q$6&gt;""</formula>
    </cfRule>
  </conditionalFormatting>
  <conditionalFormatting sqref="R69:R95 R100:R131 R136:R167 R172:R203 R208:R239 R244:R275 R280:R311 R316:R347 R352:R383 R388:R419 R424:R455">
    <cfRule type="expression" dxfId="49" priority="154" stopIfTrue="1">
      <formula>$S69&gt;0</formula>
    </cfRule>
  </conditionalFormatting>
  <conditionalFormatting sqref="R457:R465">
    <cfRule type="expression" dxfId="48" priority="65" stopIfTrue="1">
      <formula>$S457&gt;0</formula>
    </cfRule>
  </conditionalFormatting>
  <conditionalFormatting sqref="S136:T166">
    <cfRule type="expression" dxfId="47" priority="165" stopIfTrue="1">
      <formula>$S136&gt;0</formula>
    </cfRule>
  </conditionalFormatting>
  <conditionalFormatting sqref="S14:U14">
    <cfRule type="expression" dxfId="46" priority="14">
      <formula>$AA$14=1</formula>
    </cfRule>
  </conditionalFormatting>
  <conditionalFormatting sqref="S14:U15">
    <cfRule type="expression" dxfId="45" priority="4">
      <formula>$AA$14=0</formula>
    </cfRule>
  </conditionalFormatting>
  <conditionalFormatting sqref="S15:U15">
    <cfRule type="expression" dxfId="44" priority="430">
      <formula>$AA$14=1</formula>
    </cfRule>
  </conditionalFormatting>
  <conditionalFormatting sqref="S69:U95 S100:U131 U136:U165 S167:U167 S203:U203 S239:U239 S275:U275 S311:U311 S347:U347 S383:U383 S419:U419 S455:U455">
    <cfRule type="expression" dxfId="43" priority="164" stopIfTrue="1">
      <formula>#N/A</formula>
    </cfRule>
  </conditionalFormatting>
  <conditionalFormatting sqref="S172:U202">
    <cfRule type="expression" dxfId="42" priority="166" stopIfTrue="1">
      <formula>$S172&gt;0</formula>
    </cfRule>
  </conditionalFormatting>
  <conditionalFormatting sqref="S208:U238">
    <cfRule type="expression" dxfId="41" priority="167" stopIfTrue="1">
      <formula>$S208&gt;0</formula>
    </cfRule>
  </conditionalFormatting>
  <conditionalFormatting sqref="S244:U274">
    <cfRule type="expression" dxfId="40" priority="168" stopIfTrue="1">
      <formula>$S244&gt;0</formula>
    </cfRule>
  </conditionalFormatting>
  <conditionalFormatting sqref="S280:U310">
    <cfRule type="expression" dxfId="39" priority="169" stopIfTrue="1">
      <formula>$S280&gt;0</formula>
    </cfRule>
  </conditionalFormatting>
  <conditionalFormatting sqref="S316:U346">
    <cfRule type="expression" dxfId="38" priority="170" stopIfTrue="1">
      <formula>$S316&gt;0</formula>
    </cfRule>
  </conditionalFormatting>
  <conditionalFormatting sqref="S352:U382">
    <cfRule type="expression" dxfId="37" priority="171" stopIfTrue="1">
      <formula>$S352&gt;0</formula>
    </cfRule>
  </conditionalFormatting>
  <conditionalFormatting sqref="S388:U418">
    <cfRule type="expression" dxfId="36" priority="172" stopIfTrue="1">
      <formula>$S388&gt;0</formula>
    </cfRule>
  </conditionalFormatting>
  <conditionalFormatting sqref="S424:U454">
    <cfRule type="expression" dxfId="35" priority="173" stopIfTrue="1">
      <formula>$S424&gt;0</formula>
    </cfRule>
  </conditionalFormatting>
  <conditionalFormatting sqref="S457:U465">
    <cfRule type="expression" dxfId="34" priority="66" stopIfTrue="1">
      <formula>$S457&gt;0</formula>
    </cfRule>
  </conditionalFormatting>
  <conditionalFormatting sqref="U166">
    <cfRule type="expression" dxfId="33" priority="174" stopIfTrue="1">
      <formula>$F166&gt;0</formula>
    </cfRule>
  </conditionalFormatting>
  <conditionalFormatting sqref="AC6:AC8 AC18:AF21">
    <cfRule type="expression" dxfId="31" priority="86">
      <formula>"&gt;"""</formula>
    </cfRule>
  </conditionalFormatting>
  <hyperlinks>
    <hyperlink ref="S18" r:id="rId1" display="https://www.gpskoordinaten.de/" xr:uid="{25A65CF6-CF7C-4520-8EF2-355FFEFAC9E7}"/>
    <hyperlink ref="S18:T18" r:id="rId2" display="gpskoordinaten" xr:uid="{42876F6D-BE1D-4303-8388-FCE5C4EB9DDE}"/>
  </hyperlink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46" orientation="landscape" useFirstPageNumber="1" horizontalDpi="300" verticalDpi="300" r:id="rId3"/>
  <headerFooter alignWithMargins="0"/>
  <rowBreaks count="3" manualBreakCount="3">
    <brk id="24" max="19" man="1"/>
    <brk id="93" max="19" man="1"/>
    <brk id="142" max="19" man="1"/>
  </rowBreaks>
  <drawing r:id="rId4"/>
  <legacyDrawing r:id="rId5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0905608D-8C9D-4661-9F16-662E7CA03B2E}">
            <xm:f>Termine!$L$58&gt;0</xm:f>
            <x14:dxf>
              <font>
                <b/>
                <i val="0"/>
                <color rgb="FFFF0000"/>
              </font>
              <fill>
                <patternFill>
                  <bgColor theme="0"/>
                </patternFill>
              </fill>
              <border>
                <left style="thin">
                  <color rgb="FFFF0000"/>
                </left>
                <right style="thin">
                  <color rgb="FFFF0000"/>
                </right>
                <top style="thin">
                  <color rgb="FFFF0000"/>
                </top>
                <bottom style="thin">
                  <color rgb="FFFF0000"/>
                </bottom>
                <vertical/>
                <horizontal/>
              </border>
            </x14:dxf>
          </x14:cfRule>
          <xm:sqref>AA19:AA21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J59"/>
  <sheetViews>
    <sheetView showGridLines="0" showRowColHeaders="0" workbookViewId="0">
      <selection activeCell="C2" sqref="C2"/>
    </sheetView>
  </sheetViews>
  <sheetFormatPr baseColWidth="10" defaultColWidth="11.5703125" defaultRowHeight="17.25" customHeight="1"/>
  <cols>
    <col min="1" max="1" width="5.42578125" style="49" customWidth="1"/>
    <col min="2" max="2" width="16.140625" style="49" customWidth="1"/>
    <col min="3" max="3" width="11.5703125" style="49"/>
    <col min="4" max="4" width="19.5703125" style="49" customWidth="1"/>
    <col min="5" max="5" width="5.7109375" style="49" customWidth="1"/>
    <col min="6" max="6" width="5.42578125" style="49" customWidth="1"/>
    <col min="7" max="7" width="8.42578125" style="49" customWidth="1"/>
    <col min="8" max="16384" width="11.5703125" style="49"/>
  </cols>
  <sheetData>
    <row r="1" spans="2:10" ht="20.25" customHeight="1">
      <c r="B1" s="47" t="s">
        <v>17</v>
      </c>
      <c r="C1" s="47">
        <f ca="1">Kalender!B2</f>
        <v>2024</v>
      </c>
      <c r="D1" s="862"/>
      <c r="E1" s="862"/>
      <c r="F1" s="862"/>
      <c r="G1" s="862"/>
    </row>
    <row r="2" spans="2:10" ht="15.75">
      <c r="B2" s="48" t="s">
        <v>18</v>
      </c>
      <c r="C2" s="48">
        <v>1</v>
      </c>
      <c r="D2" s="48"/>
      <c r="E2" s="218"/>
      <c r="F2" s="218"/>
      <c r="G2" s="218"/>
    </row>
    <row r="3" spans="2:10" ht="20.25">
      <c r="B3" s="219">
        <f t="shared" ref="B3:B34" ca="1" si="0">DATE(G3,E3,F3)</f>
        <v>45273</v>
      </c>
      <c r="C3" s="220" t="s">
        <v>58</v>
      </c>
      <c r="D3" s="221">
        <f ca="1">'Mond-Daten'!H1-2415018.5+Mond!$C$2/24</f>
        <v>45273.02369935919</v>
      </c>
      <c r="E3" s="216">
        <f t="shared" ref="E3:E34" ca="1" si="1">MONTH(D3)</f>
        <v>12</v>
      </c>
      <c r="F3" s="49">
        <f t="shared" ref="F3:F34" ca="1" si="2">DAY(D3)</f>
        <v>13</v>
      </c>
      <c r="G3" s="49">
        <f t="shared" ref="G3:G34" ca="1" si="3">YEAR(D3)</f>
        <v>2023</v>
      </c>
      <c r="H3" s="217"/>
      <c r="J3" s="222"/>
    </row>
    <row r="4" spans="2:10" ht="20.25">
      <c r="B4" s="219">
        <f t="shared" ca="1" si="0"/>
        <v>45279</v>
      </c>
      <c r="C4" s="220" t="s">
        <v>60</v>
      </c>
      <c r="D4" s="221">
        <f ca="1">'Mond-Daten'!H2-2415018.5+Mond!$C$2/24</f>
        <v>45279.820498405177</v>
      </c>
      <c r="E4" s="216">
        <f t="shared" ca="1" si="1"/>
        <v>12</v>
      </c>
      <c r="F4" s="49">
        <f t="shared" ca="1" si="2"/>
        <v>19</v>
      </c>
      <c r="G4" s="49">
        <f t="shared" ca="1" si="3"/>
        <v>2023</v>
      </c>
      <c r="H4" s="217"/>
      <c r="J4" s="222"/>
    </row>
    <row r="5" spans="2:10" ht="20.25">
      <c r="B5" s="219">
        <f t="shared" ca="1" si="0"/>
        <v>45287</v>
      </c>
      <c r="C5" s="220" t="s">
        <v>59</v>
      </c>
      <c r="D5" s="221">
        <f ca="1">'Mond-Daten'!H3-2415018.5+Mond!$C$2/24</f>
        <v>45287.065371501412</v>
      </c>
      <c r="E5" s="216">
        <f t="shared" ca="1" si="1"/>
        <v>12</v>
      </c>
      <c r="F5" s="49">
        <f t="shared" ca="1" si="2"/>
        <v>27</v>
      </c>
      <c r="G5" s="49">
        <f t="shared" ca="1" si="3"/>
        <v>2023</v>
      </c>
      <c r="H5" s="217"/>
      <c r="J5" s="222"/>
    </row>
    <row r="6" spans="2:10" ht="20.25">
      <c r="B6" s="219">
        <f t="shared" ca="1" si="0"/>
        <v>45295</v>
      </c>
      <c r="C6" s="220" t="s">
        <v>61</v>
      </c>
      <c r="D6" s="221">
        <f ca="1">'Mond-Daten'!H4-2415018.5+Mond!$C$2/24</f>
        <v>45295.187689392049</v>
      </c>
      <c r="E6" s="216">
        <f t="shared" ca="1" si="1"/>
        <v>1</v>
      </c>
      <c r="F6" s="49">
        <f t="shared" ca="1" si="2"/>
        <v>4</v>
      </c>
      <c r="G6" s="49">
        <f t="shared" ca="1" si="3"/>
        <v>2024</v>
      </c>
      <c r="H6" s="217"/>
      <c r="J6" s="222"/>
    </row>
    <row r="7" spans="2:10" ht="20.25">
      <c r="B7" s="219">
        <f t="shared" ca="1" si="0"/>
        <v>45302</v>
      </c>
      <c r="C7" s="220" t="s">
        <v>58</v>
      </c>
      <c r="D7" s="221">
        <f ca="1">'Mond-Daten'!H5-2415018.5+Mond!$C$2/24</f>
        <v>45302.541612987094</v>
      </c>
      <c r="E7" s="216">
        <f t="shared" ca="1" si="1"/>
        <v>1</v>
      </c>
      <c r="F7" s="49">
        <f t="shared" ca="1" si="2"/>
        <v>11</v>
      </c>
      <c r="G7" s="49">
        <f t="shared" ca="1" si="3"/>
        <v>2024</v>
      </c>
      <c r="H7" s="217"/>
      <c r="J7" s="222"/>
    </row>
    <row r="8" spans="2:10" ht="20.25">
      <c r="B8" s="219">
        <f t="shared" ca="1" si="0"/>
        <v>45309</v>
      </c>
      <c r="C8" s="220" t="s">
        <v>60</v>
      </c>
      <c r="D8" s="221">
        <f ca="1">'Mond-Daten'!H6-2415018.5+Mond!$C$2/24</f>
        <v>45309.205658004772</v>
      </c>
      <c r="E8" s="216">
        <f t="shared" ca="1" si="1"/>
        <v>1</v>
      </c>
      <c r="F8" s="49">
        <f t="shared" ca="1" si="2"/>
        <v>18</v>
      </c>
      <c r="G8" s="49">
        <f t="shared" ca="1" si="3"/>
        <v>2024</v>
      </c>
      <c r="H8" s="217"/>
      <c r="J8" s="222"/>
    </row>
    <row r="9" spans="2:10" ht="20.25">
      <c r="B9" s="219">
        <f t="shared" ca="1" si="0"/>
        <v>45316</v>
      </c>
      <c r="C9" s="220" t="s">
        <v>59</v>
      </c>
      <c r="D9" s="221">
        <f ca="1">'Mond-Daten'!H7-2415018.5+Mond!$C$2/24</f>
        <v>45316.789543239553</v>
      </c>
      <c r="E9" s="216">
        <f t="shared" ca="1" si="1"/>
        <v>1</v>
      </c>
      <c r="F9" s="49">
        <f t="shared" ca="1" si="2"/>
        <v>25</v>
      </c>
      <c r="G9" s="49">
        <f t="shared" ca="1" si="3"/>
        <v>2024</v>
      </c>
      <c r="H9" s="217"/>
      <c r="J9" s="222"/>
    </row>
    <row r="10" spans="2:10" ht="20.25">
      <c r="B10" s="219">
        <f t="shared" ca="1" si="0"/>
        <v>45325</v>
      </c>
      <c r="C10" s="220" t="s">
        <v>61</v>
      </c>
      <c r="D10" s="221">
        <f ca="1">'Mond-Daten'!H8-2415018.5+Mond!$C$2/24</f>
        <v>45325.012384995505</v>
      </c>
      <c r="E10" s="216">
        <f t="shared" ca="1" si="1"/>
        <v>2</v>
      </c>
      <c r="F10" s="49">
        <f t="shared" ca="1" si="2"/>
        <v>3</v>
      </c>
      <c r="G10" s="49">
        <f t="shared" ca="1" si="3"/>
        <v>2024</v>
      </c>
      <c r="H10" s="217"/>
      <c r="J10" s="222"/>
    </row>
    <row r="11" spans="2:10" ht="20.25">
      <c r="B11" s="219">
        <f t="shared" ca="1" si="0"/>
        <v>45332</v>
      </c>
      <c r="C11" s="220" t="s">
        <v>58</v>
      </c>
      <c r="D11" s="221">
        <f ca="1">'Mond-Daten'!H9-2415018.5+Mond!$C$2/24</f>
        <v>45332.000071897324</v>
      </c>
      <c r="E11" s="216">
        <f t="shared" ca="1" si="1"/>
        <v>2</v>
      </c>
      <c r="F11" s="49">
        <f t="shared" ca="1" si="2"/>
        <v>10</v>
      </c>
      <c r="G11" s="49">
        <f t="shared" ca="1" si="3"/>
        <v>2024</v>
      </c>
      <c r="H11" s="217"/>
      <c r="J11" s="222"/>
    </row>
    <row r="12" spans="2:10" ht="20.25">
      <c r="B12" s="219">
        <f t="shared" ca="1" si="0"/>
        <v>45338</v>
      </c>
      <c r="C12" s="220" t="s">
        <v>60</v>
      </c>
      <c r="D12" s="221">
        <f ca="1">'Mond-Daten'!H10-2415018.5+Mond!$C$2/24</f>
        <v>45338.66928569103</v>
      </c>
      <c r="E12" s="216">
        <f t="shared" ca="1" si="1"/>
        <v>2</v>
      </c>
      <c r="F12" s="49">
        <f t="shared" ca="1" si="2"/>
        <v>16</v>
      </c>
      <c r="G12" s="49">
        <f t="shared" ca="1" si="3"/>
        <v>2024</v>
      </c>
      <c r="H12" s="217"/>
      <c r="J12" s="222"/>
    </row>
    <row r="13" spans="2:10" ht="20.25">
      <c r="B13" s="219">
        <f t="shared" ca="1" si="0"/>
        <v>45346</v>
      </c>
      <c r="C13" s="220" t="s">
        <v>59</v>
      </c>
      <c r="D13" s="221">
        <f ca="1">'Mond-Daten'!H11-2415018.5+Mond!$C$2/24</f>
        <v>45346.564427345213</v>
      </c>
      <c r="E13" s="216">
        <f t="shared" ca="1" si="1"/>
        <v>2</v>
      </c>
      <c r="F13" s="49">
        <f t="shared" ca="1" si="2"/>
        <v>24</v>
      </c>
      <c r="G13" s="49">
        <f t="shared" ca="1" si="3"/>
        <v>2024</v>
      </c>
      <c r="H13" s="217"/>
      <c r="J13" s="222"/>
    </row>
    <row r="14" spans="2:10" ht="20.25">
      <c r="B14" s="219">
        <f t="shared" ca="1" si="0"/>
        <v>45354</v>
      </c>
      <c r="C14" s="220" t="s">
        <v>61</v>
      </c>
      <c r="D14" s="221">
        <f ca="1">'Mond-Daten'!H12-2415018.5+Mond!$C$2/24</f>
        <v>45354.685689082056</v>
      </c>
      <c r="E14" s="216">
        <f t="shared" ca="1" si="1"/>
        <v>3</v>
      </c>
      <c r="F14" s="49">
        <f t="shared" ca="1" si="2"/>
        <v>3</v>
      </c>
      <c r="G14" s="49">
        <f t="shared" ca="1" si="3"/>
        <v>2024</v>
      </c>
      <c r="H14" s="217"/>
      <c r="J14" s="222"/>
    </row>
    <row r="15" spans="2:10" ht="20.25">
      <c r="B15" s="219">
        <f t="shared" ca="1" si="0"/>
        <v>45361</v>
      </c>
      <c r="C15" s="220" t="s">
        <v>58</v>
      </c>
      <c r="D15" s="221">
        <f ca="1">'Mond-Daten'!H13-2415018.5+Mond!$C$2/24</f>
        <v>45361.416827633664</v>
      </c>
      <c r="E15" s="216">
        <f t="shared" ca="1" si="1"/>
        <v>3</v>
      </c>
      <c r="F15" s="49">
        <f t="shared" ca="1" si="2"/>
        <v>10</v>
      </c>
      <c r="G15" s="49">
        <f t="shared" ca="1" si="3"/>
        <v>2024</v>
      </c>
      <c r="H15" s="217"/>
      <c r="J15" s="222"/>
    </row>
    <row r="16" spans="2:10" ht="20.25">
      <c r="B16" s="219">
        <f t="shared" ca="1" si="0"/>
        <v>45368</v>
      </c>
      <c r="C16" s="220" t="s">
        <v>60</v>
      </c>
      <c r="D16" s="221">
        <f ca="1">'Mond-Daten'!H14-2415018.5+Mond!$C$2/24</f>
        <v>45368.217149806827</v>
      </c>
      <c r="E16" s="216">
        <f t="shared" ca="1" si="1"/>
        <v>3</v>
      </c>
      <c r="F16" s="49">
        <f t="shared" ca="1" si="2"/>
        <v>17</v>
      </c>
      <c r="G16" s="49">
        <f t="shared" ca="1" si="3"/>
        <v>2024</v>
      </c>
      <c r="H16" s="217"/>
      <c r="J16" s="222"/>
    </row>
    <row r="17" spans="2:10" ht="20.25">
      <c r="B17" s="219">
        <f t="shared" ca="1" si="0"/>
        <v>45376</v>
      </c>
      <c r="C17" s="220" t="s">
        <v>59</v>
      </c>
      <c r="D17" s="221">
        <f ca="1">'Mond-Daten'!H15-2415018.5+Mond!$C$2/24</f>
        <v>45376.333336948104</v>
      </c>
      <c r="E17" s="216">
        <f t="shared" ca="1" si="1"/>
        <v>3</v>
      </c>
      <c r="F17" s="49">
        <f t="shared" ca="1" si="2"/>
        <v>25</v>
      </c>
      <c r="G17" s="49">
        <f t="shared" ca="1" si="3"/>
        <v>2024</v>
      </c>
      <c r="H17" s="217"/>
      <c r="J17" s="222"/>
    </row>
    <row r="18" spans="2:10" ht="20.25">
      <c r="B18" s="219">
        <f t="shared" ca="1" si="0"/>
        <v>45384</v>
      </c>
      <c r="C18" s="220" t="s">
        <v>61</v>
      </c>
      <c r="D18" s="221">
        <f ca="1">'Mond-Daten'!H16-2415018.5+Mond!$C$2/24</f>
        <v>45384.180617839251</v>
      </c>
      <c r="E18" s="216">
        <f t="shared" ca="1" si="1"/>
        <v>4</v>
      </c>
      <c r="F18" s="49">
        <f t="shared" ca="1" si="2"/>
        <v>2</v>
      </c>
      <c r="G18" s="49">
        <f t="shared" ca="1" si="3"/>
        <v>2024</v>
      </c>
      <c r="H18" s="217"/>
      <c r="J18" s="222"/>
    </row>
    <row r="19" spans="2:10" ht="20.25">
      <c r="B19" s="219">
        <f t="shared" ca="1" si="0"/>
        <v>45390</v>
      </c>
      <c r="C19" s="220" t="s">
        <v>58</v>
      </c>
      <c r="D19" s="221">
        <f ca="1">'Mond-Daten'!H17-2415018.5+Mond!$C$2/24</f>
        <v>45390.80691714507</v>
      </c>
      <c r="E19" s="216">
        <f t="shared" ca="1" si="1"/>
        <v>4</v>
      </c>
      <c r="F19" s="49">
        <f t="shared" ca="1" si="2"/>
        <v>8</v>
      </c>
      <c r="G19" s="49">
        <f t="shared" ca="1" si="3"/>
        <v>2024</v>
      </c>
      <c r="H19" s="217"/>
      <c r="J19" s="222"/>
    </row>
    <row r="20" spans="2:10" ht="20.25">
      <c r="B20" s="219">
        <f t="shared" ca="1" si="0"/>
        <v>45397</v>
      </c>
      <c r="C20" s="220" t="s">
        <v>60</v>
      </c>
      <c r="D20" s="221">
        <f ca="1">'Mond-Daten'!H18-2415018.5+Mond!$C$2/24</f>
        <v>45397.844315547183</v>
      </c>
      <c r="E20" s="216">
        <f t="shared" ca="1" si="1"/>
        <v>4</v>
      </c>
      <c r="F20" s="49">
        <f t="shared" ca="1" si="2"/>
        <v>15</v>
      </c>
      <c r="G20" s="49">
        <f t="shared" ca="1" si="3"/>
        <v>2024</v>
      </c>
      <c r="H20" s="217"/>
      <c r="J20" s="222"/>
    </row>
    <row r="21" spans="2:10" ht="20.25">
      <c r="B21" s="219">
        <f t="shared" ca="1" si="0"/>
        <v>45406</v>
      </c>
      <c r="C21" s="220" t="s">
        <v>59</v>
      </c>
      <c r="D21" s="221">
        <f ca="1">'Mond-Daten'!H19-2415018.5+Mond!$C$2/24</f>
        <v>45406.033920580208</v>
      </c>
      <c r="E21" s="216">
        <f t="shared" ca="1" si="1"/>
        <v>4</v>
      </c>
      <c r="F21" s="49">
        <f t="shared" ca="1" si="2"/>
        <v>24</v>
      </c>
      <c r="G21" s="49">
        <f t="shared" ca="1" si="3"/>
        <v>2024</v>
      </c>
      <c r="H21" s="217"/>
      <c r="J21" s="222"/>
    </row>
    <row r="22" spans="2:10" ht="20.25">
      <c r="B22" s="219">
        <f t="shared" ca="1" si="0"/>
        <v>45413</v>
      </c>
      <c r="C22" s="220" t="s">
        <v>61</v>
      </c>
      <c r="D22" s="221">
        <f ca="1">'Mond-Daten'!H20-2415018.5+Mond!$C$2/24</f>
        <v>45413.520456632286</v>
      </c>
      <c r="E22" s="216">
        <f t="shared" ca="1" si="1"/>
        <v>5</v>
      </c>
      <c r="F22" s="49">
        <f t="shared" ca="1" si="2"/>
        <v>1</v>
      </c>
      <c r="G22" s="49">
        <f t="shared" ca="1" si="3"/>
        <v>2024</v>
      </c>
      <c r="H22" s="217"/>
      <c r="J22" s="222"/>
    </row>
    <row r="23" spans="2:10" ht="20.25">
      <c r="B23" s="219">
        <f t="shared" ca="1" si="0"/>
        <v>45420</v>
      </c>
      <c r="C23" s="220" t="s">
        <v>58</v>
      </c>
      <c r="D23" s="221">
        <f ca="1">'Mond-Daten'!H21-2415018.5+Mond!$C$2/24</f>
        <v>45420.18377497761</v>
      </c>
      <c r="E23" s="216">
        <f t="shared" ca="1" si="1"/>
        <v>5</v>
      </c>
      <c r="F23" s="49">
        <f t="shared" ca="1" si="2"/>
        <v>8</v>
      </c>
      <c r="G23" s="49">
        <f t="shared" ca="1" si="3"/>
        <v>2024</v>
      </c>
      <c r="H23" s="217"/>
      <c r="J23" s="222"/>
    </row>
    <row r="24" spans="2:10" ht="20.25">
      <c r="B24" s="219">
        <f t="shared" ca="1" si="0"/>
        <v>45427</v>
      </c>
      <c r="C24" s="220" t="s">
        <v>60</v>
      </c>
      <c r="D24" s="221">
        <f ca="1">'Mond-Daten'!H22-2415018.5+Mond!$C$2/24</f>
        <v>45427.535748172239</v>
      </c>
      <c r="E24" s="216">
        <f t="shared" ca="1" si="1"/>
        <v>5</v>
      </c>
      <c r="F24" s="49">
        <f t="shared" ca="1" si="2"/>
        <v>15</v>
      </c>
      <c r="G24" s="49">
        <f t="shared" ca="1" si="3"/>
        <v>2024</v>
      </c>
      <c r="H24" s="217"/>
      <c r="J24" s="222"/>
    </row>
    <row r="25" spans="2:10" ht="20.25">
      <c r="B25" s="219">
        <f t="shared" ca="1" si="0"/>
        <v>45435</v>
      </c>
      <c r="C25" s="220" t="s">
        <v>59</v>
      </c>
      <c r="D25" s="221">
        <f ca="1">'Mond-Daten'!H23-2415018.5+Mond!$C$2/24</f>
        <v>45435.622173557211</v>
      </c>
      <c r="E25" s="216">
        <f t="shared" ca="1" si="1"/>
        <v>5</v>
      </c>
      <c r="F25" s="49">
        <f t="shared" ca="1" si="2"/>
        <v>23</v>
      </c>
      <c r="G25" s="49">
        <f t="shared" ca="1" si="3"/>
        <v>2024</v>
      </c>
      <c r="H25" s="217"/>
      <c r="J25" s="222"/>
    </row>
    <row r="26" spans="2:10" ht="20.25">
      <c r="B26" s="219">
        <f t="shared" ca="1" si="0"/>
        <v>45442</v>
      </c>
      <c r="C26" s="220" t="s">
        <v>61</v>
      </c>
      <c r="D26" s="221">
        <f ca="1">'Mond-Daten'!H24-2415018.5+Mond!$C$2/24</f>
        <v>45442.758926108632</v>
      </c>
      <c r="E26" s="216">
        <f t="shared" ca="1" si="1"/>
        <v>5</v>
      </c>
      <c r="F26" s="49">
        <f t="shared" ca="1" si="2"/>
        <v>30</v>
      </c>
      <c r="G26" s="49">
        <f t="shared" ca="1" si="3"/>
        <v>2024</v>
      </c>
      <c r="H26" s="217"/>
      <c r="J26" s="222"/>
    </row>
    <row r="27" spans="2:10" ht="20.25">
      <c r="B27" s="219">
        <f t="shared" ca="1" si="0"/>
        <v>45449</v>
      </c>
      <c r="C27" s="220" t="s">
        <v>58</v>
      </c>
      <c r="D27" s="221">
        <f ca="1">'Mond-Daten'!H25-2415018.5+Mond!$C$2/24</f>
        <v>45449.569152060118</v>
      </c>
      <c r="E27" s="216">
        <f t="shared" ca="1" si="1"/>
        <v>6</v>
      </c>
      <c r="F27" s="49">
        <f t="shared" ca="1" si="2"/>
        <v>6</v>
      </c>
      <c r="G27" s="49">
        <f t="shared" ca="1" si="3"/>
        <v>2024</v>
      </c>
      <c r="H27" s="217"/>
      <c r="J27" s="222"/>
    </row>
    <row r="28" spans="2:10" ht="20.25">
      <c r="B28" s="219">
        <f t="shared" ca="1" si="0"/>
        <v>45457</v>
      </c>
      <c r="C28" s="220" t="s">
        <v>60</v>
      </c>
      <c r="D28" s="221">
        <f ca="1">'Mond-Daten'!H26-2415018.5+Mond!$C$2/24</f>
        <v>45457.264335811757</v>
      </c>
      <c r="E28" s="216">
        <f t="shared" ca="1" si="1"/>
        <v>6</v>
      </c>
      <c r="F28" s="49">
        <f t="shared" ca="1" si="2"/>
        <v>14</v>
      </c>
      <c r="G28" s="49">
        <f t="shared" ca="1" si="3"/>
        <v>2024</v>
      </c>
      <c r="H28" s="217"/>
      <c r="J28" s="222"/>
    </row>
    <row r="29" spans="2:10" ht="20.25">
      <c r="B29" s="219">
        <f t="shared" ca="1" si="0"/>
        <v>45465</v>
      </c>
      <c r="C29" s="220" t="s">
        <v>59</v>
      </c>
      <c r="D29" s="221">
        <f ca="1">'Mond-Daten'!H27-2415018.5+Mond!$C$2/24</f>
        <v>45465.09118893199</v>
      </c>
      <c r="E29" s="216">
        <f t="shared" ca="1" si="1"/>
        <v>6</v>
      </c>
      <c r="F29" s="49">
        <f t="shared" ca="1" si="2"/>
        <v>22</v>
      </c>
      <c r="G29" s="49">
        <f t="shared" ca="1" si="3"/>
        <v>2024</v>
      </c>
      <c r="H29" s="217"/>
      <c r="J29" s="222"/>
    </row>
    <row r="30" spans="2:10" ht="20.25">
      <c r="B30" s="219">
        <f t="shared" ca="1" si="0"/>
        <v>45471</v>
      </c>
      <c r="C30" s="220" t="s">
        <v>61</v>
      </c>
      <c r="D30" s="221">
        <f ca="1">'Mond-Daten'!H28-2415018.5+Mond!$C$2/24</f>
        <v>45471.955540693518</v>
      </c>
      <c r="E30" s="216">
        <f t="shared" ca="1" si="1"/>
        <v>6</v>
      </c>
      <c r="F30" s="49">
        <f t="shared" ca="1" si="2"/>
        <v>28</v>
      </c>
      <c r="G30" s="49">
        <f t="shared" ca="1" si="3"/>
        <v>2024</v>
      </c>
      <c r="H30" s="217"/>
      <c r="J30" s="222"/>
    </row>
    <row r="31" spans="2:10" ht="20.25">
      <c r="B31" s="219">
        <f t="shared" ca="1" si="0"/>
        <v>45478</v>
      </c>
      <c r="C31" s="220" t="s">
        <v>58</v>
      </c>
      <c r="D31" s="221">
        <f ca="1">'Mond-Daten'!H29-2415018.5+Mond!$C$2/24</f>
        <v>45478.998323049549</v>
      </c>
      <c r="E31" s="216">
        <f t="shared" ca="1" si="1"/>
        <v>7</v>
      </c>
      <c r="F31" s="49">
        <f t="shared" ca="1" si="2"/>
        <v>5</v>
      </c>
      <c r="G31" s="49">
        <f t="shared" ca="1" si="3"/>
        <v>2024</v>
      </c>
      <c r="H31" s="217"/>
      <c r="J31" s="222"/>
    </row>
    <row r="32" spans="2:10" ht="20.25">
      <c r="B32" s="219">
        <f t="shared" ca="1" si="0"/>
        <v>45486</v>
      </c>
      <c r="C32" s="220" t="s">
        <v>60</v>
      </c>
      <c r="D32" s="221">
        <f ca="1">'Mond-Daten'!H30-2415018.5+Mond!$C$2/24</f>
        <v>45486.992264983397</v>
      </c>
      <c r="E32" s="216">
        <f t="shared" ca="1" si="1"/>
        <v>7</v>
      </c>
      <c r="F32" s="49">
        <f t="shared" ca="1" si="2"/>
        <v>13</v>
      </c>
      <c r="G32" s="49">
        <f t="shared" ca="1" si="3"/>
        <v>2024</v>
      </c>
      <c r="H32" s="217"/>
      <c r="J32" s="222"/>
    </row>
    <row r="33" spans="2:10" ht="20.25">
      <c r="B33" s="219">
        <f t="shared" ca="1" si="0"/>
        <v>45494</v>
      </c>
      <c r="C33" s="220" t="s">
        <v>59</v>
      </c>
      <c r="D33" s="221">
        <f ca="1">'Mond-Daten'!H31-2415018.5+Mond!$C$2/24</f>
        <v>45494.471053305235</v>
      </c>
      <c r="E33" s="216">
        <f t="shared" ca="1" si="1"/>
        <v>7</v>
      </c>
      <c r="F33" s="49">
        <f t="shared" ca="1" si="2"/>
        <v>21</v>
      </c>
      <c r="G33" s="49">
        <f t="shared" ca="1" si="3"/>
        <v>2024</v>
      </c>
      <c r="H33" s="217"/>
      <c r="J33" s="222"/>
    </row>
    <row r="34" spans="2:10" ht="20.25">
      <c r="B34" s="219">
        <f t="shared" ca="1" si="0"/>
        <v>45501</v>
      </c>
      <c r="C34" s="220" t="s">
        <v>61</v>
      </c>
      <c r="D34" s="221">
        <f ca="1">'Mond-Daten'!H32-2415018.5+Mond!$C$2/24</f>
        <v>45501.164068605438</v>
      </c>
      <c r="E34" s="216">
        <f t="shared" ca="1" si="1"/>
        <v>7</v>
      </c>
      <c r="F34" s="49">
        <f t="shared" ca="1" si="2"/>
        <v>28</v>
      </c>
      <c r="G34" s="49">
        <f t="shared" ca="1" si="3"/>
        <v>2024</v>
      </c>
      <c r="H34" s="217"/>
      <c r="J34" s="222"/>
    </row>
    <row r="35" spans="2:10" ht="20.25">
      <c r="B35" s="219">
        <f t="shared" ref="B35:B58" ca="1" si="4">DATE(G35,E35,F35)</f>
        <v>45508</v>
      </c>
      <c r="C35" s="220" t="s">
        <v>58</v>
      </c>
      <c r="D35" s="221">
        <f ca="1">'Mond-Daten'!H33-2415018.5+Mond!$C$2/24</f>
        <v>45508.509974137567</v>
      </c>
      <c r="E35" s="216">
        <f t="shared" ref="E35:E58" ca="1" si="5">MONTH(D35)</f>
        <v>8</v>
      </c>
      <c r="F35" s="49">
        <f t="shared" ref="F35:F58" ca="1" si="6">DAY(D35)</f>
        <v>4</v>
      </c>
      <c r="G35" s="49">
        <f t="shared" ref="G35:G58" ca="1" si="7">YEAR(D35)</f>
        <v>2024</v>
      </c>
      <c r="H35" s="217"/>
      <c r="J35" s="222"/>
    </row>
    <row r="36" spans="2:10" ht="20.25">
      <c r="B36" s="219">
        <f t="shared" ca="1" si="4"/>
        <v>45516</v>
      </c>
      <c r="C36" s="220" t="s">
        <v>60</v>
      </c>
      <c r="D36" s="221">
        <f ca="1">'Mond-Daten'!H34-2415018.5+Mond!$C$2/24</f>
        <v>45516.679579367083</v>
      </c>
      <c r="E36" s="216">
        <f t="shared" ca="1" si="5"/>
        <v>8</v>
      </c>
      <c r="F36" s="49">
        <f t="shared" ca="1" si="6"/>
        <v>12</v>
      </c>
      <c r="G36" s="49">
        <f t="shared" ca="1" si="7"/>
        <v>2024</v>
      </c>
      <c r="H36" s="217"/>
      <c r="J36" s="222"/>
    </row>
    <row r="37" spans="2:10" ht="20.25">
      <c r="B37" s="219">
        <f t="shared" ca="1" si="4"/>
        <v>45523</v>
      </c>
      <c r="C37" s="220" t="s">
        <v>59</v>
      </c>
      <c r="D37" s="221">
        <f ca="1">'Mond-Daten'!H35-2415018.5+Mond!$C$2/24</f>
        <v>45523.809934654892</v>
      </c>
      <c r="E37" s="216">
        <f t="shared" ca="1" si="5"/>
        <v>8</v>
      </c>
      <c r="F37" s="49">
        <f t="shared" ca="1" si="6"/>
        <v>19</v>
      </c>
      <c r="G37" s="49">
        <f t="shared" ca="1" si="7"/>
        <v>2024</v>
      </c>
      <c r="H37" s="217"/>
      <c r="J37" s="222"/>
    </row>
    <row r="38" spans="2:10" ht="20.25">
      <c r="B38" s="219">
        <f t="shared" ca="1" si="4"/>
        <v>45530</v>
      </c>
      <c r="C38" s="220" t="s">
        <v>61</v>
      </c>
      <c r="D38" s="221">
        <f ca="1">'Mond-Daten'!H36-2415018.5+Mond!$C$2/24</f>
        <v>45530.436056725834</v>
      </c>
      <c r="E38" s="216">
        <f t="shared" ca="1" si="5"/>
        <v>8</v>
      </c>
      <c r="F38" s="49">
        <f t="shared" ca="1" si="6"/>
        <v>26</v>
      </c>
      <c r="G38" s="49">
        <f t="shared" ca="1" si="7"/>
        <v>2024</v>
      </c>
      <c r="H38" s="217"/>
      <c r="J38" s="222"/>
    </row>
    <row r="39" spans="2:10" ht="20.25">
      <c r="B39" s="219">
        <f t="shared" ca="1" si="4"/>
        <v>45538</v>
      </c>
      <c r="C39" s="220" t="s">
        <v>58</v>
      </c>
      <c r="D39" s="221">
        <f ca="1">'Mond-Daten'!H37-2415018.5+Mond!$C$2/24</f>
        <v>45538.124712975849</v>
      </c>
      <c r="E39" s="216">
        <f t="shared" ca="1" si="5"/>
        <v>9</v>
      </c>
      <c r="F39" s="49">
        <f t="shared" ca="1" si="6"/>
        <v>3</v>
      </c>
      <c r="G39" s="49">
        <f t="shared" ca="1" si="7"/>
        <v>2024</v>
      </c>
      <c r="H39" s="217"/>
      <c r="J39" s="222"/>
    </row>
    <row r="40" spans="2:10" ht="20.25">
      <c r="B40" s="219">
        <f t="shared" ca="1" si="4"/>
        <v>45546</v>
      </c>
      <c r="C40" s="220" t="s">
        <v>60</v>
      </c>
      <c r="D40" s="221">
        <f ca="1">'Mond-Daten'!H38-2415018.5+Mond!$C$2/24</f>
        <v>45546.296465371888</v>
      </c>
      <c r="E40" s="216">
        <f t="shared" ca="1" si="5"/>
        <v>9</v>
      </c>
      <c r="F40" s="49">
        <f t="shared" ca="1" si="6"/>
        <v>11</v>
      </c>
      <c r="G40" s="49">
        <f t="shared" ca="1" si="7"/>
        <v>2024</v>
      </c>
      <c r="H40" s="217"/>
      <c r="J40" s="222"/>
    </row>
    <row r="41" spans="2:10" ht="20.25">
      <c r="B41" s="219">
        <f t="shared" ca="1" si="4"/>
        <v>45553</v>
      </c>
      <c r="C41" s="220" t="s">
        <v>59</v>
      </c>
      <c r="D41" s="221">
        <f ca="1">'Mond-Daten'!H39-2415018.5+Mond!$C$2/24</f>
        <v>45553.150955979865</v>
      </c>
      <c r="E41" s="216">
        <f t="shared" ca="1" si="5"/>
        <v>9</v>
      </c>
      <c r="F41" s="49">
        <f t="shared" ca="1" si="6"/>
        <v>18</v>
      </c>
      <c r="G41" s="49">
        <f t="shared" ca="1" si="7"/>
        <v>2024</v>
      </c>
      <c r="H41" s="217"/>
      <c r="J41" s="222"/>
    </row>
    <row r="42" spans="2:10" ht="20.25">
      <c r="B42" s="219">
        <f t="shared" ca="1" si="4"/>
        <v>45559</v>
      </c>
      <c r="C42" s="220" t="s">
        <v>61</v>
      </c>
      <c r="D42" s="221">
        <f ca="1">'Mond-Daten'!H40-2415018.5+Mond!$C$2/24</f>
        <v>45559.825083483629</v>
      </c>
      <c r="E42" s="216">
        <f t="shared" ca="1" si="5"/>
        <v>9</v>
      </c>
      <c r="F42" s="49">
        <f t="shared" ca="1" si="6"/>
        <v>24</v>
      </c>
      <c r="G42" s="49">
        <f t="shared" ca="1" si="7"/>
        <v>2024</v>
      </c>
      <c r="H42" s="217"/>
      <c r="J42" s="222"/>
    </row>
    <row r="43" spans="2:10" ht="20.25">
      <c r="B43" s="219">
        <f t="shared" ca="1" si="4"/>
        <v>45567</v>
      </c>
      <c r="C43" s="220" t="s">
        <v>58</v>
      </c>
      <c r="D43" s="221">
        <f ca="1">'Mond-Daten'!H41-2415018.5+Mond!$C$2/24</f>
        <v>45567.828492157314</v>
      </c>
      <c r="E43" s="216">
        <f t="shared" ca="1" si="5"/>
        <v>10</v>
      </c>
      <c r="F43" s="49">
        <f t="shared" ca="1" si="6"/>
        <v>2</v>
      </c>
      <c r="G43" s="49">
        <f t="shared" ca="1" si="7"/>
        <v>2024</v>
      </c>
      <c r="H43" s="217"/>
      <c r="J43" s="222"/>
    </row>
    <row r="44" spans="2:10" ht="20.25">
      <c r="B44" s="219">
        <f t="shared" ca="1" si="4"/>
        <v>45575</v>
      </c>
      <c r="C44" s="220" t="s">
        <v>60</v>
      </c>
      <c r="D44" s="221">
        <f ca="1">'Mond-Daten'!H42-2415018.5+Mond!$C$2/24</f>
        <v>45575.831224652626</v>
      </c>
      <c r="E44" s="216">
        <f t="shared" ca="1" si="5"/>
        <v>10</v>
      </c>
      <c r="F44" s="49">
        <f t="shared" ca="1" si="6"/>
        <v>10</v>
      </c>
      <c r="G44" s="49">
        <f t="shared" ca="1" si="7"/>
        <v>2024</v>
      </c>
      <c r="H44" s="217"/>
      <c r="J44" s="222"/>
    </row>
    <row r="45" spans="2:10" ht="20.25">
      <c r="B45" s="219">
        <f t="shared" ca="1" si="4"/>
        <v>45582</v>
      </c>
      <c r="C45" s="220" t="s">
        <v>59</v>
      </c>
      <c r="D45" s="221">
        <f ca="1">'Mond-Daten'!H43-2415018.5+Mond!$C$2/24</f>
        <v>45582.5214016467</v>
      </c>
      <c r="E45" s="216">
        <f t="shared" ca="1" si="5"/>
        <v>10</v>
      </c>
      <c r="F45" s="49">
        <f t="shared" ca="1" si="6"/>
        <v>17</v>
      </c>
      <c r="G45" s="49">
        <f t="shared" ca="1" si="7"/>
        <v>2024</v>
      </c>
      <c r="H45" s="217"/>
      <c r="J45" s="222"/>
    </row>
    <row r="46" spans="2:10" ht="20.25">
      <c r="B46" s="219">
        <f t="shared" ca="1" si="4"/>
        <v>45589</v>
      </c>
      <c r="C46" s="220" t="s">
        <v>61</v>
      </c>
      <c r="D46" s="221">
        <f ca="1">'Mond-Daten'!H44-2415018.5+Mond!$C$2/24</f>
        <v>45589.376708355419</v>
      </c>
      <c r="E46" s="216">
        <f t="shared" ca="1" si="5"/>
        <v>10</v>
      </c>
      <c r="F46" s="49">
        <f t="shared" ca="1" si="6"/>
        <v>24</v>
      </c>
      <c r="G46" s="49">
        <f t="shared" ca="1" si="7"/>
        <v>2024</v>
      </c>
      <c r="H46" s="217"/>
      <c r="J46" s="222"/>
    </row>
    <row r="47" spans="2:10" ht="20.25">
      <c r="B47" s="219">
        <f t="shared" ca="1" si="4"/>
        <v>45597</v>
      </c>
      <c r="C47" s="220" t="s">
        <v>58</v>
      </c>
      <c r="D47" s="221">
        <f ca="1">'Mond-Daten'!H45-2415018.5+Mond!$C$2/24</f>
        <v>45597.575132352918</v>
      </c>
      <c r="E47" s="216">
        <f t="shared" ca="1" si="5"/>
        <v>11</v>
      </c>
      <c r="F47" s="49">
        <f t="shared" ca="1" si="6"/>
        <v>1</v>
      </c>
      <c r="G47" s="49">
        <f t="shared" ca="1" si="7"/>
        <v>2024</v>
      </c>
      <c r="H47" s="217"/>
      <c r="J47" s="222"/>
    </row>
    <row r="48" spans="2:10" ht="20.25">
      <c r="B48" s="219">
        <f t="shared" ca="1" si="4"/>
        <v>45605</v>
      </c>
      <c r="C48" s="220" t="s">
        <v>60</v>
      </c>
      <c r="D48" s="221">
        <f ca="1">'Mond-Daten'!H46-2415018.5+Mond!$C$2/24</f>
        <v>45605.289172780387</v>
      </c>
      <c r="E48" s="216">
        <f t="shared" ca="1" si="5"/>
        <v>11</v>
      </c>
      <c r="F48" s="49">
        <f t="shared" ca="1" si="6"/>
        <v>9</v>
      </c>
      <c r="G48" s="49">
        <f t="shared" ca="1" si="7"/>
        <v>2024</v>
      </c>
      <c r="H48" s="217"/>
      <c r="J48" s="222"/>
    </row>
    <row r="49" spans="2:10" ht="20.25">
      <c r="B49" s="219">
        <f t="shared" ca="1" si="4"/>
        <v>45611</v>
      </c>
      <c r="C49" s="220" t="s">
        <v>59</v>
      </c>
      <c r="D49" s="221">
        <f ca="1">'Mond-Daten'!H47-2415018.5+Mond!$C$2/24</f>
        <v>45611.938150925715</v>
      </c>
      <c r="E49" s="216">
        <f t="shared" ca="1" si="5"/>
        <v>11</v>
      </c>
      <c r="F49" s="49">
        <f t="shared" ca="1" si="6"/>
        <v>15</v>
      </c>
      <c r="G49" s="49">
        <f t="shared" ca="1" si="7"/>
        <v>2024</v>
      </c>
      <c r="H49" s="217"/>
      <c r="J49" s="222"/>
    </row>
    <row r="50" spans="2:10" ht="20.25">
      <c r="B50" s="219">
        <f t="shared" ca="1" si="4"/>
        <v>45619</v>
      </c>
      <c r="C50" s="220" t="s">
        <v>61</v>
      </c>
      <c r="D50" s="221">
        <f ca="1">'Mond-Daten'!H48-2415018.5+Mond!$C$2/24</f>
        <v>45619.10487767883</v>
      </c>
      <c r="E50" s="216">
        <f t="shared" ca="1" si="5"/>
        <v>11</v>
      </c>
      <c r="F50" s="49">
        <f t="shared" ca="1" si="6"/>
        <v>23</v>
      </c>
      <c r="G50" s="49">
        <f t="shared" ca="1" si="7"/>
        <v>2024</v>
      </c>
      <c r="H50" s="217"/>
      <c r="J50" s="222"/>
    </row>
    <row r="51" spans="2:10" ht="20.25">
      <c r="B51" s="219">
        <f t="shared" ca="1" si="4"/>
        <v>45627</v>
      </c>
      <c r="C51" s="220" t="s">
        <v>58</v>
      </c>
      <c r="D51" s="221">
        <f ca="1">'Mond-Daten'!H49-2415018.5+Mond!$C$2/24</f>
        <v>45627.307025490481</v>
      </c>
      <c r="E51" s="216">
        <f t="shared" ca="1" si="5"/>
        <v>12</v>
      </c>
      <c r="F51" s="49">
        <f t="shared" ca="1" si="6"/>
        <v>1</v>
      </c>
      <c r="G51" s="49">
        <f t="shared" ca="1" si="7"/>
        <v>2024</v>
      </c>
      <c r="H51" s="217"/>
      <c r="J51" s="222"/>
    </row>
    <row r="52" spans="2:10" ht="19.5" customHeight="1">
      <c r="B52" s="219">
        <f t="shared" ca="1" si="4"/>
        <v>45634</v>
      </c>
      <c r="C52" s="220" t="s">
        <v>60</v>
      </c>
      <c r="D52" s="221">
        <f ca="1">'Mond-Daten'!H50-2415018.5+Mond!$C$2/24</f>
        <v>45634.685641064461</v>
      </c>
      <c r="E52" s="216">
        <f t="shared" ca="1" si="5"/>
        <v>12</v>
      </c>
      <c r="F52" s="49">
        <f t="shared" ca="1" si="6"/>
        <v>8</v>
      </c>
      <c r="G52" s="49">
        <f t="shared" ca="1" si="7"/>
        <v>2024</v>
      </c>
      <c r="H52" s="217"/>
      <c r="J52" s="222"/>
    </row>
    <row r="53" spans="2:10" ht="19.5" customHeight="1">
      <c r="B53" s="219">
        <f t="shared" ca="1" si="4"/>
        <v>45641</v>
      </c>
      <c r="C53" s="220" t="s">
        <v>59</v>
      </c>
      <c r="D53" s="221">
        <f ca="1">'Mond-Daten'!H51-2415018.5+Mond!$C$2/24</f>
        <v>45641.417948851515</v>
      </c>
      <c r="E53" s="216">
        <f t="shared" ca="1" si="5"/>
        <v>12</v>
      </c>
      <c r="F53" s="49">
        <f t="shared" ca="1" si="6"/>
        <v>15</v>
      </c>
      <c r="G53" s="49">
        <f t="shared" ca="1" si="7"/>
        <v>2024</v>
      </c>
      <c r="H53" s="217"/>
      <c r="J53" s="222"/>
    </row>
    <row r="54" spans="2:10" ht="19.5" customHeight="1">
      <c r="B54" s="219">
        <f t="shared" ca="1" si="4"/>
        <v>45648</v>
      </c>
      <c r="C54" s="220" t="s">
        <v>61</v>
      </c>
      <c r="D54" s="221">
        <f ca="1">'Mond-Daten'!H52-2415018.5+Mond!$C$2/24</f>
        <v>45648.972554069631</v>
      </c>
      <c r="E54" s="216">
        <f t="shared" ca="1" si="5"/>
        <v>12</v>
      </c>
      <c r="F54" s="49">
        <f t="shared" ca="1" si="6"/>
        <v>22</v>
      </c>
      <c r="G54" s="49">
        <f t="shared" ca="1" si="7"/>
        <v>2024</v>
      </c>
      <c r="H54" s="217"/>
      <c r="J54" s="222"/>
    </row>
    <row r="55" spans="2:10" ht="19.5" customHeight="1">
      <c r="B55" s="219">
        <f t="shared" ca="1" si="4"/>
        <v>45656</v>
      </c>
      <c r="C55" s="220" t="s">
        <v>58</v>
      </c>
      <c r="D55" s="221">
        <f ca="1">'Mond-Daten'!H53-2415018.5+Mond!$C$2/24</f>
        <v>45656.978858104594</v>
      </c>
      <c r="E55" s="216">
        <f t="shared" ca="1" si="5"/>
        <v>12</v>
      </c>
      <c r="F55" s="49">
        <f t="shared" ca="1" si="6"/>
        <v>30</v>
      </c>
      <c r="G55" s="49">
        <f t="shared" ca="1" si="7"/>
        <v>2024</v>
      </c>
    </row>
    <row r="56" spans="2:10" ht="19.5" customHeight="1">
      <c r="B56" s="219">
        <f t="shared" ca="1" si="4"/>
        <v>45664</v>
      </c>
      <c r="C56" s="220" t="s">
        <v>60</v>
      </c>
      <c r="D56" s="221">
        <f ca="1">'Mond-Daten'!H54-2415018.5+Mond!$C$2/24</f>
        <v>45664.040630893935</v>
      </c>
      <c r="E56" s="216">
        <f t="shared" ca="1" si="5"/>
        <v>1</v>
      </c>
      <c r="F56" s="49">
        <f t="shared" ca="1" si="6"/>
        <v>7</v>
      </c>
      <c r="G56" s="49">
        <f t="shared" ca="1" si="7"/>
        <v>2025</v>
      </c>
    </row>
    <row r="57" spans="2:10" ht="19.5" customHeight="1">
      <c r="B57" s="219">
        <f t="shared" ca="1" si="4"/>
        <v>45670</v>
      </c>
      <c r="C57" s="220" t="s">
        <v>59</v>
      </c>
      <c r="D57" s="221">
        <f ca="1">'Mond-Daten'!H55-2415018.5+Mond!$C$2/24</f>
        <v>45670.977817828454</v>
      </c>
      <c r="E57" s="216">
        <f t="shared" ca="1" si="5"/>
        <v>1</v>
      </c>
      <c r="F57" s="49">
        <f t="shared" ca="1" si="6"/>
        <v>13</v>
      </c>
      <c r="G57" s="49">
        <f t="shared" ca="1" si="7"/>
        <v>2025</v>
      </c>
    </row>
    <row r="58" spans="2:10" ht="19.5" customHeight="1">
      <c r="B58" s="219">
        <f t="shared" ca="1" si="4"/>
        <v>45678</v>
      </c>
      <c r="C58" s="220" t="s">
        <v>61</v>
      </c>
      <c r="D58" s="221">
        <f ca="1">'Mond-Daten'!H56-2415018.5+Mond!$C$2/24</f>
        <v>45678.895672518447</v>
      </c>
      <c r="E58" s="216">
        <f t="shared" ca="1" si="5"/>
        <v>1</v>
      </c>
      <c r="F58" s="49">
        <f t="shared" ca="1" si="6"/>
        <v>21</v>
      </c>
      <c r="G58" s="49">
        <f t="shared" ca="1" si="7"/>
        <v>2025</v>
      </c>
    </row>
    <row r="59" spans="2:10" ht="17.25" customHeight="1">
      <c r="D59" s="221"/>
    </row>
  </sheetData>
  <sheetProtection sheet="1" selectLockedCells="1"/>
  <mergeCells count="1">
    <mergeCell ref="D1:G1"/>
  </mergeCells>
  <pageMargins left="0.7" right="0.7" top="0.78749999999999998" bottom="0.78749999999999998" header="0.51180555555555551" footer="0.51180555555555551"/>
  <pageSetup firstPageNumber="0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3D1F1-2FBF-4740-8FF2-CF3394350101}">
  <dimension ref="B1:O35"/>
  <sheetViews>
    <sheetView showGridLines="0" showRowColHeaders="0" zoomScaleNormal="100" workbookViewId="0">
      <pane ySplit="40" topLeftCell="A41" activePane="bottomLeft" state="frozen"/>
      <selection pane="bottomLeft" activeCell="B2" sqref="B2:K2"/>
    </sheetView>
  </sheetViews>
  <sheetFormatPr baseColWidth="10" defaultRowHeight="12.75"/>
  <cols>
    <col min="1" max="1" width="6.140625" style="30" customWidth="1"/>
    <col min="2" max="6" width="11.42578125" style="30"/>
    <col min="7" max="7" width="13.28515625" style="30" customWidth="1"/>
    <col min="8" max="8" width="7" style="30" customWidth="1"/>
    <col min="9" max="9" width="3.42578125" style="30" customWidth="1"/>
    <col min="10" max="10" width="3.28515625" style="30" customWidth="1"/>
    <col min="11" max="12" width="11.42578125" style="30"/>
    <col min="13" max="13" width="14.42578125" style="30" customWidth="1"/>
    <col min="14" max="15" width="3.7109375" style="30" customWidth="1"/>
    <col min="16" max="17" width="3.42578125" style="30" customWidth="1"/>
    <col min="18" max="16384" width="11.42578125" style="30"/>
  </cols>
  <sheetData>
    <row r="1" spans="2:14" ht="14.1" customHeight="1"/>
    <row r="2" spans="2:14" ht="18.75" customHeight="1">
      <c r="B2" s="863" t="s">
        <v>62</v>
      </c>
      <c r="C2" s="863"/>
      <c r="D2" s="863"/>
      <c r="E2" s="863"/>
      <c r="F2" s="863"/>
      <c r="G2" s="863"/>
      <c r="H2" s="863"/>
      <c r="I2" s="863"/>
      <c r="J2" s="863"/>
      <c r="K2" s="863"/>
    </row>
    <row r="3" spans="2:14" ht="14.1" customHeight="1">
      <c r="B3" s="174"/>
      <c r="C3" s="174"/>
      <c r="D3" s="174"/>
      <c r="E3" s="174"/>
      <c r="F3" s="174"/>
      <c r="G3" s="174"/>
      <c r="H3" s="174"/>
      <c r="I3" s="174"/>
      <c r="J3" s="174"/>
    </row>
    <row r="4" spans="2:14" ht="15.95" customHeight="1">
      <c r="B4" s="865" t="s">
        <v>190</v>
      </c>
      <c r="C4" s="865"/>
      <c r="D4" s="865"/>
      <c r="E4" s="865"/>
      <c r="F4" s="865"/>
      <c r="G4" s="865"/>
      <c r="H4" s="865"/>
      <c r="I4" s="865"/>
      <c r="J4" s="174"/>
    </row>
    <row r="5" spans="2:14" ht="15.95" customHeight="1" thickBot="1">
      <c r="B5" s="174"/>
      <c r="C5" s="174"/>
      <c r="D5" s="174"/>
      <c r="E5" s="174"/>
      <c r="F5" s="174"/>
      <c r="G5" s="174"/>
      <c r="H5" s="174"/>
      <c r="I5" s="174"/>
      <c r="J5" s="174"/>
    </row>
    <row r="6" spans="2:14" ht="15.95" customHeight="1" thickTop="1">
      <c r="B6" s="888" t="s">
        <v>76</v>
      </c>
      <c r="C6" s="888"/>
      <c r="D6" s="888"/>
      <c r="E6" s="175"/>
      <c r="F6" s="175"/>
      <c r="G6" s="175"/>
      <c r="H6" s="883" t="s">
        <v>250</v>
      </c>
      <c r="I6" s="884"/>
      <c r="J6" s="884"/>
      <c r="K6" s="884"/>
      <c r="L6" s="884"/>
      <c r="M6" s="885"/>
    </row>
    <row r="7" spans="2:14" ht="15.95" customHeight="1">
      <c r="B7" s="335"/>
      <c r="C7" s="335"/>
      <c r="D7" s="335"/>
      <c r="E7" s="175"/>
      <c r="F7" s="175"/>
      <c r="G7" s="175"/>
      <c r="H7" s="880" t="s">
        <v>251</v>
      </c>
      <c r="I7" s="881"/>
      <c r="J7" s="881"/>
      <c r="K7" s="881"/>
      <c r="L7" s="881"/>
      <c r="M7" s="882"/>
    </row>
    <row r="8" spans="2:14" ht="15.95" customHeight="1" thickBot="1">
      <c r="B8" s="168" t="s">
        <v>92</v>
      </c>
      <c r="C8" s="865" t="s">
        <v>93</v>
      </c>
      <c r="D8" s="865"/>
      <c r="E8" s="865"/>
      <c r="F8" s="865"/>
      <c r="G8" s="865"/>
      <c r="H8" s="877" t="s">
        <v>252</v>
      </c>
      <c r="I8" s="878"/>
      <c r="J8" s="878"/>
      <c r="K8" s="878"/>
      <c r="L8" s="878"/>
      <c r="M8" s="879"/>
    </row>
    <row r="9" spans="2:14" ht="15.95" customHeight="1" thickTop="1" thickBot="1">
      <c r="B9" s="168"/>
      <c r="C9" s="334" t="s">
        <v>77</v>
      </c>
      <c r="D9" s="176">
        <v>50.175781100000002</v>
      </c>
      <c r="E9" s="232"/>
      <c r="F9" s="232"/>
      <c r="G9" s="232"/>
    </row>
    <row r="10" spans="2:14" ht="15.95" customHeight="1" thickBot="1">
      <c r="B10" s="168" t="s">
        <v>92</v>
      </c>
      <c r="C10" s="865" t="s">
        <v>94</v>
      </c>
      <c r="D10" s="865"/>
      <c r="E10" s="177"/>
      <c r="F10" s="178"/>
      <c r="G10" s="178"/>
      <c r="H10" s="868" t="s">
        <v>180</v>
      </c>
      <c r="I10" s="869"/>
      <c r="J10" s="869"/>
      <c r="K10" s="869"/>
      <c r="L10" s="870"/>
    </row>
    <row r="11" spans="2:14" ht="15.95" customHeight="1">
      <c r="B11" s="168" t="s">
        <v>92</v>
      </c>
      <c r="C11" s="336" t="s">
        <v>179</v>
      </c>
      <c r="D11" s="178"/>
      <c r="E11" s="178"/>
      <c r="F11" s="178"/>
      <c r="G11" s="178"/>
      <c r="H11" s="871" t="s">
        <v>181</v>
      </c>
      <c r="I11" s="872"/>
      <c r="J11" s="872"/>
      <c r="K11" s="872"/>
      <c r="L11" s="873"/>
    </row>
    <row r="12" spans="2:14" ht="15.95" customHeight="1">
      <c r="B12" s="168"/>
      <c r="C12" s="336"/>
      <c r="D12" s="178"/>
      <c r="E12" s="178"/>
      <c r="F12" s="178"/>
      <c r="G12" s="178"/>
      <c r="H12" s="874" t="s">
        <v>182</v>
      </c>
      <c r="I12" s="875"/>
      <c r="J12" s="875"/>
      <c r="K12" s="875"/>
      <c r="L12" s="876"/>
    </row>
    <row r="13" spans="2:14" ht="15.95" customHeight="1" thickBot="1">
      <c r="B13" s="864" t="s">
        <v>95</v>
      </c>
      <c r="C13" s="864"/>
      <c r="D13" s="864"/>
      <c r="E13" s="864"/>
      <c r="F13" s="864"/>
      <c r="G13" s="177"/>
      <c r="H13" s="874" t="s">
        <v>183</v>
      </c>
      <c r="I13" s="875"/>
      <c r="J13" s="875"/>
      <c r="K13" s="875"/>
      <c r="L13" s="876"/>
    </row>
    <row r="14" spans="2:14" ht="15.95" customHeight="1">
      <c r="B14" s="334"/>
      <c r="C14" s="334"/>
      <c r="D14" s="334"/>
      <c r="E14" s="334"/>
      <c r="F14" s="334"/>
      <c r="G14" s="177"/>
      <c r="H14" s="874" t="s">
        <v>184</v>
      </c>
      <c r="I14" s="875"/>
      <c r="J14" s="875"/>
      <c r="K14" s="875"/>
      <c r="L14" s="876"/>
    </row>
    <row r="15" spans="2:14" ht="15.95" customHeight="1">
      <c r="B15" s="168" t="s">
        <v>92</v>
      </c>
      <c r="C15" s="865" t="s">
        <v>96</v>
      </c>
      <c r="D15" s="865"/>
      <c r="E15" s="178"/>
      <c r="F15" s="178"/>
      <c r="G15" s="178"/>
      <c r="H15" s="874" t="s">
        <v>185</v>
      </c>
      <c r="I15" s="875"/>
      <c r="J15" s="875"/>
      <c r="K15" s="875"/>
      <c r="L15" s="876"/>
      <c r="N15" s="553"/>
    </row>
    <row r="16" spans="2:14" ht="15.95" customHeight="1" thickBot="1">
      <c r="B16" s="174"/>
      <c r="C16" s="174"/>
      <c r="D16" s="174"/>
      <c r="E16" s="174"/>
      <c r="F16" s="174"/>
      <c r="G16" s="174"/>
      <c r="H16" s="889" t="s">
        <v>186</v>
      </c>
      <c r="I16" s="890"/>
      <c r="J16" s="890"/>
      <c r="K16" s="890"/>
      <c r="L16" s="891"/>
      <c r="N16" s="554"/>
    </row>
    <row r="17" spans="2:15" ht="15.95" customHeight="1" thickBot="1">
      <c r="B17" s="866" t="s">
        <v>97</v>
      </c>
      <c r="C17" s="866"/>
      <c r="D17" s="866"/>
      <c r="E17" s="866"/>
      <c r="F17" s="174"/>
      <c r="G17" s="174"/>
      <c r="H17" s="174"/>
      <c r="I17" s="174"/>
      <c r="J17" s="174"/>
    </row>
    <row r="18" spans="2:15" ht="15.95" customHeight="1" thickTop="1">
      <c r="B18" s="174"/>
      <c r="C18" s="174"/>
      <c r="D18" s="174"/>
      <c r="E18" s="174"/>
      <c r="F18" s="174"/>
      <c r="G18" s="174"/>
      <c r="H18" s="174"/>
      <c r="I18" s="174"/>
      <c r="J18" s="174"/>
    </row>
    <row r="19" spans="2:15" ht="15.95" customHeight="1">
      <c r="B19" s="168" t="s">
        <v>92</v>
      </c>
      <c r="C19" s="867" t="s">
        <v>191</v>
      </c>
      <c r="D19" s="867"/>
      <c r="E19" s="867"/>
      <c r="F19" s="865" t="s">
        <v>192</v>
      </c>
      <c r="G19" s="865"/>
      <c r="H19" s="865"/>
      <c r="I19" s="865"/>
      <c r="J19" s="865"/>
      <c r="K19" s="865"/>
      <c r="L19" s="865"/>
      <c r="M19" s="865"/>
      <c r="N19" s="865"/>
      <c r="O19" s="865"/>
    </row>
    <row r="20" spans="2:15" ht="15.95" customHeight="1">
      <c r="B20" s="168" t="s">
        <v>92</v>
      </c>
      <c r="C20" s="886" t="s">
        <v>193</v>
      </c>
      <c r="D20" s="886"/>
      <c r="E20" s="886"/>
      <c r="F20" s="875" t="s">
        <v>211</v>
      </c>
      <c r="G20" s="875"/>
      <c r="H20" s="875"/>
      <c r="I20" s="875"/>
      <c r="J20" s="875"/>
      <c r="K20" s="875"/>
      <c r="L20" s="875"/>
      <c r="M20" s="875"/>
      <c r="N20" s="268"/>
      <c r="O20" s="179"/>
    </row>
    <row r="21" spans="2:15" ht="15.95" customHeight="1">
      <c r="B21" s="168" t="s">
        <v>92</v>
      </c>
      <c r="C21" s="334" t="s">
        <v>0</v>
      </c>
      <c r="D21" s="174"/>
      <c r="E21" s="174"/>
      <c r="F21" s="174"/>
      <c r="G21" s="174"/>
      <c r="H21" s="174"/>
      <c r="I21" s="174"/>
      <c r="J21" s="174"/>
    </row>
    <row r="22" spans="2:15" ht="15.95" customHeight="1">
      <c r="B22" s="168" t="s">
        <v>92</v>
      </c>
      <c r="C22" s="886" t="s">
        <v>194</v>
      </c>
      <c r="D22" s="886"/>
      <c r="E22" s="886"/>
      <c r="F22" s="875" t="s">
        <v>212</v>
      </c>
      <c r="G22" s="875"/>
      <c r="H22" s="875"/>
      <c r="I22" s="875"/>
      <c r="J22" s="875"/>
      <c r="K22" s="875"/>
      <c r="L22" s="875"/>
      <c r="M22" s="875"/>
      <c r="N22" s="269"/>
      <c r="O22" s="179"/>
    </row>
    <row r="23" spans="2:15" ht="15.95" customHeight="1">
      <c r="B23" s="168" t="s">
        <v>92</v>
      </c>
      <c r="C23" s="867" t="s">
        <v>98</v>
      </c>
      <c r="D23" s="867"/>
      <c r="E23" s="174"/>
      <c r="F23" s="174"/>
      <c r="G23" s="174"/>
      <c r="H23" s="174"/>
      <c r="I23" s="174"/>
      <c r="J23" s="174"/>
    </row>
    <row r="24" spans="2:15" ht="15.95" customHeight="1">
      <c r="B24" s="168" t="s">
        <v>92</v>
      </c>
      <c r="C24" s="886" t="s">
        <v>179</v>
      </c>
      <c r="D24" s="886"/>
      <c r="E24" s="886"/>
      <c r="F24" s="865" t="s">
        <v>213</v>
      </c>
      <c r="G24" s="865"/>
      <c r="H24" s="865"/>
      <c r="I24" s="865"/>
      <c r="J24" s="865"/>
      <c r="K24" s="865"/>
      <c r="L24" s="865"/>
      <c r="M24" s="865"/>
      <c r="N24" s="887" t="s">
        <v>220</v>
      </c>
      <c r="O24" s="887"/>
    </row>
    <row r="25" spans="2:15" ht="15.95" customHeight="1">
      <c r="B25" s="168" t="s">
        <v>92</v>
      </c>
      <c r="C25" s="886" t="s">
        <v>210</v>
      </c>
      <c r="D25" s="886"/>
      <c r="E25" s="886"/>
      <c r="F25" s="875" t="s">
        <v>214</v>
      </c>
      <c r="G25" s="875"/>
      <c r="H25" s="875"/>
      <c r="I25" s="875"/>
      <c r="J25" s="875"/>
      <c r="K25" s="875"/>
      <c r="L25" s="875"/>
      <c r="M25" s="875"/>
      <c r="N25" s="875"/>
      <c r="O25" s="875"/>
    </row>
    <row r="26" spans="2:15" ht="15.95" customHeight="1">
      <c r="B26" s="168" t="s">
        <v>92</v>
      </c>
      <c r="C26" s="886" t="s">
        <v>2</v>
      </c>
      <c r="D26" s="886"/>
      <c r="E26" s="886"/>
      <c r="F26" s="875" t="s">
        <v>215</v>
      </c>
      <c r="G26" s="875"/>
      <c r="H26" s="875"/>
      <c r="I26" s="875"/>
      <c r="J26" s="875"/>
      <c r="K26" s="875"/>
      <c r="L26" s="875"/>
      <c r="M26" s="875"/>
      <c r="N26" s="875"/>
      <c r="O26" s="875"/>
    </row>
    <row r="27" spans="2:15" ht="15.95" customHeight="1">
      <c r="B27" s="168" t="s">
        <v>92</v>
      </c>
      <c r="C27" s="867" t="s">
        <v>195</v>
      </c>
      <c r="D27" s="867"/>
      <c r="E27" s="867"/>
      <c r="F27" s="875" t="s">
        <v>196</v>
      </c>
      <c r="G27" s="875"/>
      <c r="H27" s="875"/>
      <c r="I27" s="875"/>
      <c r="J27" s="875"/>
      <c r="K27" s="875"/>
      <c r="L27" s="875"/>
      <c r="M27" s="875"/>
      <c r="N27" s="875"/>
      <c r="O27" s="875"/>
    </row>
    <row r="28" spans="2:15" ht="15.95" customHeight="1">
      <c r="B28" s="168"/>
      <c r="D28" s="179"/>
      <c r="E28" s="179"/>
      <c r="F28" s="892" t="s">
        <v>197</v>
      </c>
      <c r="G28" s="892"/>
      <c r="H28" s="892"/>
      <c r="I28" s="892"/>
      <c r="J28" s="892"/>
      <c r="K28" s="892"/>
      <c r="L28" s="892"/>
      <c r="M28" s="892"/>
      <c r="N28" s="892"/>
    </row>
    <row r="29" spans="2:15" ht="15.95" customHeight="1">
      <c r="B29" s="168" t="s">
        <v>92</v>
      </c>
      <c r="C29" s="867" t="s">
        <v>52</v>
      </c>
      <c r="D29" s="867"/>
      <c r="E29" s="867"/>
      <c r="F29" s="865" t="s">
        <v>198</v>
      </c>
      <c r="G29" s="865"/>
      <c r="H29" s="174"/>
      <c r="I29" s="174"/>
      <c r="J29" s="174"/>
    </row>
    <row r="30" spans="2:15" ht="15.95" customHeight="1">
      <c r="B30" s="168" t="s">
        <v>92</v>
      </c>
      <c r="C30" s="867" t="s">
        <v>99</v>
      </c>
      <c r="D30" s="867"/>
      <c r="E30" s="867"/>
      <c r="F30" s="174"/>
      <c r="G30" s="174"/>
      <c r="H30" s="174"/>
      <c r="I30" s="174"/>
      <c r="J30" s="174"/>
    </row>
    <row r="31" spans="2:15" ht="15.95" customHeight="1">
      <c r="B31" s="168" t="s">
        <v>92</v>
      </c>
      <c r="C31" s="867" t="s">
        <v>199</v>
      </c>
      <c r="D31" s="867"/>
      <c r="E31" s="867"/>
      <c r="F31" s="875" t="s">
        <v>200</v>
      </c>
      <c r="G31" s="875"/>
      <c r="H31" s="875"/>
      <c r="I31" s="875"/>
      <c r="J31" s="875"/>
      <c r="K31" s="875"/>
      <c r="L31" s="875"/>
      <c r="M31" s="875"/>
      <c r="N31" s="875"/>
      <c r="O31" s="875"/>
    </row>
    <row r="32" spans="2:15" ht="15.75">
      <c r="B32" s="174"/>
      <c r="D32" s="179"/>
      <c r="E32" s="179"/>
      <c r="F32" s="875" t="s">
        <v>201</v>
      </c>
      <c r="G32" s="875"/>
      <c r="H32" s="875"/>
      <c r="I32" s="174"/>
      <c r="J32" s="174"/>
    </row>
    <row r="33" spans="2:14" ht="15.75">
      <c r="B33" s="168" t="s">
        <v>92</v>
      </c>
      <c r="C33" s="893" t="s">
        <v>202</v>
      </c>
      <c r="D33" s="893"/>
      <c r="E33" s="893"/>
      <c r="F33" s="815" t="s">
        <v>203</v>
      </c>
      <c r="G33" s="815"/>
      <c r="H33" s="815"/>
      <c r="I33" s="815"/>
    </row>
    <row r="34" spans="2:14" ht="15.75">
      <c r="B34" s="168" t="s">
        <v>92</v>
      </c>
      <c r="C34" s="893" t="s">
        <v>204</v>
      </c>
      <c r="D34" s="893"/>
      <c r="E34" s="893"/>
      <c r="F34" s="815" t="s">
        <v>216</v>
      </c>
      <c r="G34" s="815"/>
      <c r="H34" s="815"/>
      <c r="I34" s="815"/>
      <c r="J34" s="815"/>
      <c r="K34" s="815"/>
      <c r="L34" s="815"/>
      <c r="M34" s="815"/>
      <c r="N34" s="815"/>
    </row>
    <row r="35" spans="2:14" ht="15.75">
      <c r="B35" s="168"/>
      <c r="C35" s="893"/>
      <c r="D35" s="893"/>
      <c r="E35" s="893"/>
      <c r="F35" s="815"/>
      <c r="G35" s="815"/>
      <c r="H35" s="815"/>
      <c r="I35" s="815"/>
      <c r="J35" s="815"/>
      <c r="K35" s="815"/>
      <c r="L35" s="815"/>
      <c r="M35" s="815"/>
      <c r="N35" s="815"/>
    </row>
  </sheetData>
  <sheetProtection sheet="1" objects="1" scenarios="1" selectLockedCells="1"/>
  <mergeCells count="47">
    <mergeCell ref="F29:G29"/>
    <mergeCell ref="C30:E30"/>
    <mergeCell ref="C29:E29"/>
    <mergeCell ref="C34:E34"/>
    <mergeCell ref="F34:N34"/>
    <mergeCell ref="C35:E35"/>
    <mergeCell ref="F35:N35"/>
    <mergeCell ref="C31:E31"/>
    <mergeCell ref="F31:O31"/>
    <mergeCell ref="F32:H32"/>
    <mergeCell ref="C33:E33"/>
    <mergeCell ref="F33:I33"/>
    <mergeCell ref="F26:O26"/>
    <mergeCell ref="C27:E27"/>
    <mergeCell ref="F27:O27"/>
    <mergeCell ref="F28:N28"/>
    <mergeCell ref="C23:D23"/>
    <mergeCell ref="C24:E24"/>
    <mergeCell ref="F24:M24"/>
    <mergeCell ref="C25:E25"/>
    <mergeCell ref="C26:E26"/>
    <mergeCell ref="C22:E22"/>
    <mergeCell ref="F22:M22"/>
    <mergeCell ref="F25:O25"/>
    <mergeCell ref="N24:O24"/>
    <mergeCell ref="B6:D6"/>
    <mergeCell ref="C8:G8"/>
    <mergeCell ref="C20:E20"/>
    <mergeCell ref="F20:M20"/>
    <mergeCell ref="H14:L14"/>
    <mergeCell ref="H15:L15"/>
    <mergeCell ref="H16:L16"/>
    <mergeCell ref="B2:K2"/>
    <mergeCell ref="B13:F13"/>
    <mergeCell ref="C15:D15"/>
    <mergeCell ref="B17:E17"/>
    <mergeCell ref="C19:E19"/>
    <mergeCell ref="F19:O19"/>
    <mergeCell ref="H10:L10"/>
    <mergeCell ref="H11:L11"/>
    <mergeCell ref="H12:L12"/>
    <mergeCell ref="H13:L13"/>
    <mergeCell ref="C10:D10"/>
    <mergeCell ref="H8:M8"/>
    <mergeCell ref="H7:M7"/>
    <mergeCell ref="B4:I4"/>
    <mergeCell ref="H6:M6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6"/>
  <sheetViews>
    <sheetView showGridLines="0" workbookViewId="0">
      <selection activeCell="C9" sqref="C9"/>
    </sheetView>
  </sheetViews>
  <sheetFormatPr baseColWidth="10" defaultColWidth="10.7109375" defaultRowHeight="12.75"/>
  <sheetData>
    <row r="1" spans="1:8">
      <c r="A1">
        <f ca="1">Mond!C1</f>
        <v>2024</v>
      </c>
      <c r="B1">
        <v>0</v>
      </c>
      <c r="C1">
        <f t="shared" ref="C1:C32" ca="1" si="0">INT((A1-2000)*12.3685)+B1</f>
        <v>296</v>
      </c>
      <c r="D1">
        <f t="shared" ref="D1:D32" ca="1" si="1">2451550.09766+29.530588861*C1</f>
        <v>2460291.1519628558</v>
      </c>
      <c r="E1">
        <f t="shared" ref="E1:E32" ca="1" si="2">(2.5534+29.1053567*C1)*PI()/180</f>
        <v>150.40791933430833</v>
      </c>
      <c r="F1">
        <f t="shared" ref="F1:F32" ca="1" si="3">(201.5643+385.81693528*C1)*PI()/180</f>
        <v>1996.7156065440793</v>
      </c>
      <c r="G1">
        <f t="shared" ref="G1:G32" ca="1" si="4">(160.7108+390.67050284*C1)*PI()/180</f>
        <v>2021.0769558375521</v>
      </c>
      <c r="H1">
        <f ca="1">-0.4072*SIN(F1)+0.17241*SIN(E1)+0.01608*SIN(2*F1)+0.01039*SIN(2*G1)+0.00739*SIN(F1-E1)-0.00514*SIN(F1+E1)+0.00208*SIN(2*E1)-0.00111*SIN(F1-2*G1)+D1</f>
        <v>2460291.4820326925</v>
      </c>
    </row>
    <row r="2" spans="1:8">
      <c r="A2">
        <f ca="1">A1</f>
        <v>2024</v>
      </c>
      <c r="B2">
        <v>0.25</v>
      </c>
      <c r="C2">
        <f t="shared" ca="1" si="0"/>
        <v>296.25</v>
      </c>
      <c r="D2">
        <f t="shared" ca="1" si="1"/>
        <v>2460298.5346100712</v>
      </c>
      <c r="E2">
        <f t="shared" ca="1" si="2"/>
        <v>150.5349154104039</v>
      </c>
      <c r="F2">
        <f t="shared" ca="1" si="3"/>
        <v>1998.3990505017266</v>
      </c>
      <c r="G2">
        <f t="shared" ca="1" si="4"/>
        <v>2022.7815774787971</v>
      </c>
      <c r="H2">
        <f ca="1">-0.62801*SIN(F2)+0.17172*SIN(E2)-0.01183*SIN(F2+E2)+0.00862*SIN(2*F2)+0.00804*SIN(2*G2)+0.00454*SIN(F2-E2)+0.00204*SIN(2*E2)-0.0018*SIN(F2-2*G2)+D2+0.00306</f>
        <v>2460298.2788317385</v>
      </c>
    </row>
    <row r="3" spans="1:8">
      <c r="A3">
        <f ca="1">A2</f>
        <v>2024</v>
      </c>
      <c r="B3">
        <v>0.5</v>
      </c>
      <c r="C3">
        <f t="shared" ca="1" si="0"/>
        <v>296.5</v>
      </c>
      <c r="D3">
        <f t="shared" ca="1" si="1"/>
        <v>2460305.9172572866</v>
      </c>
      <c r="E3">
        <f t="shared" ca="1" si="2"/>
        <v>150.66191148649952</v>
      </c>
      <c r="F3">
        <f t="shared" ca="1" si="3"/>
        <v>2000.0824944593739</v>
      </c>
      <c r="G3">
        <f t="shared" ca="1" si="4"/>
        <v>2024.4861991200419</v>
      </c>
      <c r="H3">
        <f ca="1">-0.40614*SIN(F3)+0.17302*SIN(E3)+0.01614*SIN(2*F3)+0.01043*SIN(2*G3)+0.00734*SIN(F3-E3)-0.00515*SIN(F3+E3)+0.00209*SIN(2*E3)-0.00111*SIN(F3-2*G3)+D3</f>
        <v>2460305.5237048347</v>
      </c>
    </row>
    <row r="4" spans="1:8">
      <c r="A4">
        <f ca="1">A3</f>
        <v>2024</v>
      </c>
      <c r="B4">
        <v>0.75</v>
      </c>
      <c r="C4">
        <f t="shared" ca="1" si="0"/>
        <v>296.75</v>
      </c>
      <c r="D4">
        <f t="shared" ca="1" si="1"/>
        <v>2460313.2999045015</v>
      </c>
      <c r="E4">
        <f t="shared" ca="1" si="2"/>
        <v>150.78890756259511</v>
      </c>
      <c r="F4">
        <f t="shared" ca="1" si="3"/>
        <v>2001.7659384170217</v>
      </c>
      <c r="G4">
        <f t="shared" ca="1" si="4"/>
        <v>2026.1908207612869</v>
      </c>
      <c r="H4">
        <f ca="1">-0.62801*SIN(F4)+0.17172*SIN(E4)-0.01183*SIN(F4+E4)+0.00862*SIN(2*F4)+0.00804*SIN(2*G4)+0.00454*SIN(F4-E4)+0.00204*SIN(2*E4)-0.0018*SIN(F4-2*G4)+D4-0.00306</f>
        <v>2460313.6460227254</v>
      </c>
    </row>
    <row r="5" spans="1:8">
      <c r="A5">
        <f ca="1">A1+0.08</f>
        <v>2024.08</v>
      </c>
      <c r="B5">
        <v>0</v>
      </c>
      <c r="C5">
        <f t="shared" ca="1" si="0"/>
        <v>297</v>
      </c>
      <c r="D5">
        <f t="shared" ca="1" si="1"/>
        <v>2460320.6825517169</v>
      </c>
      <c r="E5">
        <f t="shared" ca="1" si="2"/>
        <v>150.91590363869071</v>
      </c>
      <c r="F5">
        <f t="shared" ca="1" si="3"/>
        <v>2003.4493823746691</v>
      </c>
      <c r="G5">
        <f t="shared" ca="1" si="4"/>
        <v>2027.8954424025319</v>
      </c>
      <c r="H5">
        <f ca="1">-0.4072*SIN(F5)+0.17241*SIN(E5)+0.01608*SIN(2*F5)+0.01039*SIN(2*G5)+0.00739*SIN(F5-E5)-0.00514*SIN(F5+E5)+0.00208*SIN(2*E5)-0.00111*SIN(F5-2*G5)+D5</f>
        <v>2460320.9999463204</v>
      </c>
    </row>
    <row r="6" spans="1:8">
      <c r="A6">
        <f ca="1">A5</f>
        <v>2024.08</v>
      </c>
      <c r="B6">
        <v>0.25</v>
      </c>
      <c r="C6">
        <f t="shared" ca="1" si="0"/>
        <v>297.25</v>
      </c>
      <c r="D6">
        <f t="shared" ca="1" si="1"/>
        <v>2460328.0651989323</v>
      </c>
      <c r="E6">
        <f t="shared" ca="1" si="2"/>
        <v>151.04289971478633</v>
      </c>
      <c r="F6">
        <f t="shared" ca="1" si="3"/>
        <v>2005.1328263323167</v>
      </c>
      <c r="G6">
        <f t="shared" ca="1" si="4"/>
        <v>2029.6000640437769</v>
      </c>
      <c r="H6">
        <f ca="1">-0.62801*SIN(F6)+0.17172*SIN(E6)-0.01183*SIN(F6+E6)+0.00862*SIN(2*F6)+0.00804*SIN(2*G6)+0.00454*SIN(F6-E6)+0.00204*SIN(2*E6)-0.0018*SIN(F6-2*G6)+D6+0.00306</f>
        <v>2460327.6639913381</v>
      </c>
    </row>
    <row r="7" spans="1:8">
      <c r="A7">
        <f ca="1">A6</f>
        <v>2024.08</v>
      </c>
      <c r="B7">
        <v>0.5</v>
      </c>
      <c r="C7">
        <f t="shared" ca="1" si="0"/>
        <v>297.5</v>
      </c>
      <c r="D7">
        <f t="shared" ca="1" si="1"/>
        <v>2460335.4478461477</v>
      </c>
      <c r="E7">
        <f t="shared" ca="1" si="2"/>
        <v>151.16989579088192</v>
      </c>
      <c r="F7">
        <f t="shared" ca="1" si="3"/>
        <v>2006.816270289964</v>
      </c>
      <c r="G7">
        <f t="shared" ca="1" si="4"/>
        <v>2031.3046856850217</v>
      </c>
      <c r="H7">
        <f ca="1">-0.40614*SIN(F7)+0.17302*SIN(E7)+0.01614*SIN(2*F7)+0.01043*SIN(2*G7)+0.00734*SIN(F7-E7)-0.00515*SIN(F7+E7)+0.00209*SIN(2*E7)-0.00111*SIN(F7-2*G7)+D7</f>
        <v>2460335.2478765729</v>
      </c>
    </row>
    <row r="8" spans="1:8">
      <c r="A8">
        <f ca="1">A7</f>
        <v>2024.08</v>
      </c>
      <c r="B8">
        <v>0.75</v>
      </c>
      <c r="C8">
        <f t="shared" ca="1" si="0"/>
        <v>297.75</v>
      </c>
      <c r="D8">
        <f t="shared" ca="1" si="1"/>
        <v>2460342.8304933626</v>
      </c>
      <c r="E8">
        <f t="shared" ca="1" si="2"/>
        <v>151.29689186697749</v>
      </c>
      <c r="F8">
        <f t="shared" ca="1" si="3"/>
        <v>2008.4997142476113</v>
      </c>
      <c r="G8">
        <f t="shared" ca="1" si="4"/>
        <v>2033.0093073262667</v>
      </c>
      <c r="H8">
        <f ca="1">-0.62801*SIN(F8)+0.17172*SIN(E8)-0.01183*SIN(F8+E8)+0.00862*SIN(2*F8)+0.00804*SIN(2*G8)+0.00454*SIN(F8-E8)+0.00204*SIN(2*E8)-0.0018*SIN(F8-2*G8)+D8-0.00306</f>
        <v>2460343.4707183288</v>
      </c>
    </row>
    <row r="9" spans="1:8">
      <c r="A9">
        <f ca="1">A5+0.08</f>
        <v>2024.1599999999999</v>
      </c>
      <c r="B9">
        <v>0</v>
      </c>
      <c r="C9">
        <f t="shared" ca="1" si="0"/>
        <v>298</v>
      </c>
      <c r="D9">
        <f t="shared" ca="1" si="1"/>
        <v>2460350.213140578</v>
      </c>
      <c r="E9">
        <f t="shared" ca="1" si="2"/>
        <v>151.42388794307308</v>
      </c>
      <c r="F9">
        <f t="shared" ca="1" si="3"/>
        <v>2010.1831582052591</v>
      </c>
      <c r="G9">
        <f t="shared" ca="1" si="4"/>
        <v>2034.7139289675119</v>
      </c>
      <c r="H9">
        <f ca="1">-0.4072*SIN(F9)+0.17241*SIN(E9)+0.01608*SIN(2*F9)+0.01039*SIN(2*G9)+0.00739*SIN(F9-E9)-0.00514*SIN(F9+E9)+0.00208*SIN(2*E9)-0.00111*SIN(F9-2*G9)+D9</f>
        <v>2460350.4584052307</v>
      </c>
    </row>
    <row r="10" spans="1:8">
      <c r="A10">
        <f ca="1">A9</f>
        <v>2024.1599999999999</v>
      </c>
      <c r="B10">
        <v>0.25</v>
      </c>
      <c r="C10">
        <f t="shared" ca="1" si="0"/>
        <v>298.25</v>
      </c>
      <c r="D10">
        <f t="shared" ca="1" si="1"/>
        <v>2460357.5957877934</v>
      </c>
      <c r="E10">
        <f t="shared" ca="1" si="2"/>
        <v>151.55088401916871</v>
      </c>
      <c r="F10">
        <f t="shared" ca="1" si="3"/>
        <v>2011.8666021629065</v>
      </c>
      <c r="G10">
        <f t="shared" ca="1" si="4"/>
        <v>2036.4185506087565</v>
      </c>
      <c r="H10">
        <f ca="1">-0.62801*SIN(F10)+0.17172*SIN(E10)-0.01183*SIN(F10+E10)+0.00862*SIN(2*F10)+0.00804*SIN(2*G10)+0.00454*SIN(F10-E10)+0.00204*SIN(2*E10)-0.0018*SIN(F10-2*G10)+D10+0.00306</f>
        <v>2460357.1276190244</v>
      </c>
    </row>
    <row r="11" spans="1:8">
      <c r="A11">
        <f ca="1">A10</f>
        <v>2024.1599999999999</v>
      </c>
      <c r="B11">
        <v>0.5</v>
      </c>
      <c r="C11">
        <f t="shared" ca="1" si="0"/>
        <v>298.5</v>
      </c>
      <c r="D11">
        <f t="shared" ca="1" si="1"/>
        <v>2460364.9784350083</v>
      </c>
      <c r="E11">
        <f t="shared" ca="1" si="2"/>
        <v>151.6778800952643</v>
      </c>
      <c r="F11">
        <f t="shared" ca="1" si="3"/>
        <v>2013.550046120554</v>
      </c>
      <c r="G11">
        <f t="shared" ca="1" si="4"/>
        <v>2038.1231722500017</v>
      </c>
      <c r="H11">
        <f ca="1">-0.40614*SIN(F11)+0.17302*SIN(E11)+0.01614*SIN(2*F11)+0.01043*SIN(2*G11)+0.00734*SIN(F11-E11)-0.00515*SIN(F11+E11)+0.00209*SIN(2*E11)-0.00111*SIN(F11-2*G11)+D11</f>
        <v>2460365.0227606785</v>
      </c>
    </row>
    <row r="12" spans="1:8">
      <c r="A12">
        <f ca="1">A11</f>
        <v>2024.1599999999999</v>
      </c>
      <c r="B12">
        <v>0.75</v>
      </c>
      <c r="C12">
        <f t="shared" ca="1" si="0"/>
        <v>298.75</v>
      </c>
      <c r="D12">
        <f t="shared" ca="1" si="1"/>
        <v>2460372.3610822237</v>
      </c>
      <c r="E12">
        <f t="shared" ca="1" si="2"/>
        <v>151.80487617135989</v>
      </c>
      <c r="F12">
        <f t="shared" ca="1" si="3"/>
        <v>2015.2334900782014</v>
      </c>
      <c r="G12">
        <f t="shared" ca="1" si="4"/>
        <v>2039.8277938912468</v>
      </c>
      <c r="H12">
        <f ca="1">-0.62801*SIN(F12)+0.17172*SIN(E12)-0.01183*SIN(F12+E12)+0.00862*SIN(2*F12)+0.00804*SIN(2*G12)+0.00454*SIN(F12-E12)+0.00204*SIN(2*E12)-0.0018*SIN(F12-2*G12)+D12-0.00306</f>
        <v>2460373.1440224154</v>
      </c>
    </row>
    <row r="13" spans="1:8">
      <c r="A13">
        <f ca="1">A9+0.08</f>
        <v>2024.2399999999998</v>
      </c>
      <c r="B13">
        <v>0</v>
      </c>
      <c r="C13">
        <f t="shared" ca="1" si="0"/>
        <v>299</v>
      </c>
      <c r="D13">
        <f t="shared" ca="1" si="1"/>
        <v>2460379.7437294391</v>
      </c>
      <c r="E13">
        <f t="shared" ca="1" si="2"/>
        <v>151.93187224745546</v>
      </c>
      <c r="F13">
        <f t="shared" ca="1" si="3"/>
        <v>2016.9169340358487</v>
      </c>
      <c r="G13">
        <f t="shared" ca="1" si="4"/>
        <v>2041.5324155324915</v>
      </c>
      <c r="H13">
        <f ca="1">-0.4072*SIN(F13)+0.17241*SIN(E13)+0.01608*SIN(2*F13)+0.01039*SIN(2*G13)+0.00739*SIN(F13-E13)-0.00514*SIN(F13+E13)+0.00208*SIN(2*E13)-0.00111*SIN(F13-2*G13)+D13</f>
        <v>2460379.875160967</v>
      </c>
    </row>
    <row r="14" spans="1:8">
      <c r="A14">
        <f ca="1">A13</f>
        <v>2024.2399999999998</v>
      </c>
      <c r="B14">
        <v>0.25</v>
      </c>
      <c r="C14">
        <f t="shared" ca="1" si="0"/>
        <v>299.25</v>
      </c>
      <c r="D14">
        <f t="shared" ca="1" si="1"/>
        <v>2460387.126376654</v>
      </c>
      <c r="E14">
        <f t="shared" ca="1" si="2"/>
        <v>152.05886832355111</v>
      </c>
      <c r="F14">
        <f t="shared" ca="1" si="3"/>
        <v>2018.6003779934965</v>
      </c>
      <c r="G14">
        <f t="shared" ca="1" si="4"/>
        <v>2043.2370371737366</v>
      </c>
      <c r="H14">
        <f ca="1">-0.62801*SIN(F14)+0.17172*SIN(E14)-0.01183*SIN(F14+E14)+0.00862*SIN(2*F14)+0.00804*SIN(2*G14)+0.00454*SIN(F14-E14)+0.00204*SIN(2*E14)-0.0018*SIN(F14-2*G14)+D14+0.00306</f>
        <v>2460386.6754831402</v>
      </c>
    </row>
    <row r="15" spans="1:8">
      <c r="A15">
        <f ca="1">A14</f>
        <v>2024.2399999999998</v>
      </c>
      <c r="B15">
        <v>0.5</v>
      </c>
      <c r="C15">
        <f t="shared" ca="1" si="0"/>
        <v>299.5</v>
      </c>
      <c r="D15">
        <f t="shared" ca="1" si="1"/>
        <v>2460394.5090238694</v>
      </c>
      <c r="E15">
        <f t="shared" ca="1" si="2"/>
        <v>152.18586439964668</v>
      </c>
      <c r="F15">
        <f t="shared" ca="1" si="3"/>
        <v>2020.2838219511439</v>
      </c>
      <c r="G15">
        <f t="shared" ca="1" si="4"/>
        <v>2044.9416588149816</v>
      </c>
      <c r="H15">
        <f ca="1">-0.40614*SIN(F15)+0.17302*SIN(E15)+0.01614*SIN(2*F15)+0.01043*SIN(2*G15)+0.00734*SIN(F15-E15)-0.00515*SIN(F15+E15)+0.00209*SIN(2*E15)-0.00111*SIN(F15-2*G15)+D15</f>
        <v>2460394.7916702814</v>
      </c>
    </row>
    <row r="16" spans="1:8">
      <c r="A16">
        <f ca="1">A15</f>
        <v>2024.2399999999998</v>
      </c>
      <c r="B16">
        <v>0.75</v>
      </c>
      <c r="C16">
        <f t="shared" ca="1" si="0"/>
        <v>299.75</v>
      </c>
      <c r="D16">
        <f t="shared" ca="1" si="1"/>
        <v>2460401.8916710848</v>
      </c>
      <c r="E16">
        <f t="shared" ca="1" si="2"/>
        <v>152.3128604757423</v>
      </c>
      <c r="F16">
        <f t="shared" ca="1" si="3"/>
        <v>2021.9672659087914</v>
      </c>
      <c r="G16">
        <f t="shared" ca="1" si="4"/>
        <v>2046.6462804562266</v>
      </c>
      <c r="H16">
        <f ca="1">-0.62801*SIN(F16)+0.17172*SIN(E16)-0.01183*SIN(F16+E16)+0.00862*SIN(2*F16)+0.00804*SIN(2*G16)+0.00454*SIN(F16-E16)+0.00204*SIN(2*E16)-0.0018*SIN(F16-2*G16)+D16-0.00306</f>
        <v>2460402.6389511726</v>
      </c>
    </row>
    <row r="17" spans="1:8">
      <c r="A17">
        <f ca="1">A13+0.08</f>
        <v>2024.3199999999997</v>
      </c>
      <c r="B17">
        <v>0</v>
      </c>
      <c r="C17">
        <f t="shared" ca="1" si="0"/>
        <v>300</v>
      </c>
      <c r="D17">
        <f t="shared" ca="1" si="1"/>
        <v>2460409.2743183002</v>
      </c>
      <c r="E17">
        <f t="shared" ca="1" si="2"/>
        <v>152.43985655183786</v>
      </c>
      <c r="F17">
        <f t="shared" ca="1" si="3"/>
        <v>2023.6507098664388</v>
      </c>
      <c r="G17">
        <f t="shared" ca="1" si="4"/>
        <v>2048.3509020974716</v>
      </c>
      <c r="H17">
        <f ca="1">-0.4072*SIN(F17)+0.17241*SIN(E17)+0.01608*SIN(2*F17)+0.01039*SIN(2*G17)+0.00739*SIN(F17-E17)-0.00514*SIN(F17+E17)+0.00208*SIN(2*E17)-0.00111*SIN(F17-2*G17)+D17</f>
        <v>2460409.2652504784</v>
      </c>
    </row>
    <row r="18" spans="1:8">
      <c r="A18">
        <f ca="1">A17</f>
        <v>2024.3199999999997</v>
      </c>
      <c r="B18">
        <v>0.25</v>
      </c>
      <c r="C18">
        <f t="shared" ca="1" si="0"/>
        <v>300.25</v>
      </c>
      <c r="D18">
        <f t="shared" ca="1" si="1"/>
        <v>2460416.6569655151</v>
      </c>
      <c r="E18">
        <f t="shared" ca="1" si="2"/>
        <v>152.56685262793351</v>
      </c>
      <c r="F18">
        <f t="shared" ca="1" si="3"/>
        <v>2025.3341538240861</v>
      </c>
      <c r="G18">
        <f t="shared" ca="1" si="4"/>
        <v>2050.0555237387166</v>
      </c>
      <c r="H18">
        <f ca="1">-0.62801*SIN(F18)+0.17172*SIN(E18)-0.01183*SIN(F18+E18)+0.00862*SIN(2*F18)+0.00804*SIN(2*G18)+0.00454*SIN(F18-E18)+0.00204*SIN(2*E18)-0.0018*SIN(F18-2*G18)+D18+0.00306</f>
        <v>2460416.3026488805</v>
      </c>
    </row>
    <row r="19" spans="1:8">
      <c r="A19">
        <f ca="1">A18</f>
        <v>2024.3199999999997</v>
      </c>
      <c r="B19">
        <v>0.5</v>
      </c>
      <c r="C19">
        <f t="shared" ca="1" si="0"/>
        <v>300.5</v>
      </c>
      <c r="D19">
        <f t="shared" ca="1" si="1"/>
        <v>2460424.0396127305</v>
      </c>
      <c r="E19">
        <f t="shared" ca="1" si="2"/>
        <v>152.69384870402908</v>
      </c>
      <c r="F19">
        <f t="shared" ca="1" si="3"/>
        <v>2027.0175977817335</v>
      </c>
      <c r="G19">
        <f t="shared" ca="1" si="4"/>
        <v>2051.7601453799616</v>
      </c>
      <c r="H19">
        <f ca="1">-0.40614*SIN(F19)+0.17302*SIN(E19)+0.01614*SIN(2*F19)+0.01043*SIN(2*G19)+0.00734*SIN(F19-E19)-0.00515*SIN(F19+E19)+0.00209*SIN(2*E19)-0.00111*SIN(F19-2*G19)+D19</f>
        <v>2460424.4922539135</v>
      </c>
    </row>
    <row r="20" spans="1:8">
      <c r="A20">
        <f ca="1">A19</f>
        <v>2024.3199999999997</v>
      </c>
      <c r="B20">
        <v>0.75</v>
      </c>
      <c r="C20">
        <f t="shared" ca="1" si="0"/>
        <v>300.75</v>
      </c>
      <c r="D20">
        <f t="shared" ca="1" si="1"/>
        <v>2460431.4222599459</v>
      </c>
      <c r="E20">
        <f t="shared" ca="1" si="2"/>
        <v>152.82084478012467</v>
      </c>
      <c r="F20">
        <f t="shared" ca="1" si="3"/>
        <v>2028.701041739381</v>
      </c>
      <c r="G20">
        <f t="shared" ca="1" si="4"/>
        <v>2053.4647670212062</v>
      </c>
      <c r="H20">
        <f ca="1">-0.62801*SIN(F20)+0.17172*SIN(E20)-0.01183*SIN(F20+E20)+0.00862*SIN(2*F20)+0.00804*SIN(2*G20)+0.00454*SIN(F20-E20)+0.00204*SIN(2*E20)-0.0018*SIN(F20-2*G20)+D20-0.00306</f>
        <v>2460431.9787899656</v>
      </c>
    </row>
    <row r="21" spans="1:8">
      <c r="A21">
        <f ca="1">A17+0.08</f>
        <v>2024.3999999999996</v>
      </c>
      <c r="B21">
        <v>0</v>
      </c>
      <c r="C21">
        <f t="shared" ca="1" si="0"/>
        <v>301</v>
      </c>
      <c r="D21">
        <f t="shared" ca="1" si="1"/>
        <v>2460438.8049071608</v>
      </c>
      <c r="E21">
        <f t="shared" ca="1" si="2"/>
        <v>152.94784085622027</v>
      </c>
      <c r="F21">
        <f t="shared" ca="1" si="3"/>
        <v>2030.3844856970284</v>
      </c>
      <c r="G21">
        <f t="shared" ca="1" si="4"/>
        <v>2055.1693886624512</v>
      </c>
      <c r="H21">
        <f ca="1">-0.4072*SIN(F21)+0.17241*SIN(E21)+0.01608*SIN(2*F21)+0.01039*SIN(2*G21)+0.00739*SIN(F21-E21)-0.00514*SIN(F21+E21)+0.00208*SIN(2*E21)-0.00111*SIN(F21-2*G21)+D21</f>
        <v>2460438.6421083109</v>
      </c>
    </row>
    <row r="22" spans="1:8">
      <c r="A22">
        <f ca="1">A21</f>
        <v>2024.3999999999996</v>
      </c>
      <c r="B22">
        <v>0.25</v>
      </c>
      <c r="C22">
        <f t="shared" ca="1" si="0"/>
        <v>301.25</v>
      </c>
      <c r="D22">
        <f t="shared" ca="1" si="1"/>
        <v>2460446.1875543762</v>
      </c>
      <c r="E22">
        <f t="shared" ca="1" si="2"/>
        <v>153.07483693231589</v>
      </c>
      <c r="F22">
        <f t="shared" ca="1" si="3"/>
        <v>2032.0679296546762</v>
      </c>
      <c r="G22">
        <f t="shared" ca="1" si="4"/>
        <v>2056.8740103036962</v>
      </c>
      <c r="H22">
        <f ca="1">-0.62801*SIN(F22)+0.17172*SIN(E22)-0.01183*SIN(F22+E22)+0.00862*SIN(2*F22)+0.00804*SIN(2*G22)+0.00454*SIN(F22-E22)+0.00204*SIN(2*E22)-0.0018*SIN(F22-2*G22)+D22+0.00306</f>
        <v>2460445.9940815056</v>
      </c>
    </row>
    <row r="23" spans="1:8">
      <c r="A23">
        <f ca="1">A22</f>
        <v>2024.3999999999996</v>
      </c>
      <c r="B23">
        <v>0.5</v>
      </c>
      <c r="C23">
        <f t="shared" ca="1" si="0"/>
        <v>301.5</v>
      </c>
      <c r="D23">
        <f t="shared" ca="1" si="1"/>
        <v>2460453.5702015916</v>
      </c>
      <c r="E23">
        <f t="shared" ca="1" si="2"/>
        <v>153.20183300841148</v>
      </c>
      <c r="F23">
        <f t="shared" ca="1" si="3"/>
        <v>2033.7513736123235</v>
      </c>
      <c r="G23">
        <f t="shared" ca="1" si="4"/>
        <v>2058.5786319449412</v>
      </c>
      <c r="H23">
        <f ca="1">-0.40614*SIN(F23)+0.17302*SIN(E23)+0.01614*SIN(2*F23)+0.01043*SIN(2*G23)+0.00734*SIN(F23-E23)-0.00515*SIN(F23+E23)+0.00209*SIN(2*E23)-0.00111*SIN(F23-2*G23)+D23</f>
        <v>2460454.0805068905</v>
      </c>
    </row>
    <row r="24" spans="1:8">
      <c r="A24">
        <f ca="1">A23</f>
        <v>2024.3999999999996</v>
      </c>
      <c r="B24">
        <v>0.75</v>
      </c>
      <c r="C24">
        <f t="shared" ca="1" si="0"/>
        <v>301.75</v>
      </c>
      <c r="D24">
        <f t="shared" ca="1" si="1"/>
        <v>2460460.9528488065</v>
      </c>
      <c r="E24">
        <f t="shared" ca="1" si="2"/>
        <v>153.32882908450705</v>
      </c>
      <c r="F24">
        <f t="shared" ca="1" si="3"/>
        <v>2035.4348175699708</v>
      </c>
      <c r="G24">
        <f t="shared" ca="1" si="4"/>
        <v>2060.2832535861862</v>
      </c>
      <c r="H24">
        <f ca="1">-0.62801*SIN(F24)+0.17172*SIN(E24)-0.01183*SIN(F24+E24)+0.00862*SIN(2*F24)+0.00804*SIN(2*G24)+0.00454*SIN(F24-E24)+0.00204*SIN(2*E24)-0.0018*SIN(F24-2*G24)+D24-0.00306</f>
        <v>2460461.217259442</v>
      </c>
    </row>
    <row r="25" spans="1:8">
      <c r="A25">
        <f ca="1">A21+0.08</f>
        <v>2024.4799999999996</v>
      </c>
      <c r="B25">
        <v>0</v>
      </c>
      <c r="C25">
        <f t="shared" ca="1" si="0"/>
        <v>302</v>
      </c>
      <c r="D25">
        <f t="shared" ca="1" si="1"/>
        <v>2460468.3354960219</v>
      </c>
      <c r="E25">
        <f t="shared" ca="1" si="2"/>
        <v>153.45582516060267</v>
      </c>
      <c r="F25">
        <f t="shared" ca="1" si="3"/>
        <v>2037.1182615276184</v>
      </c>
      <c r="G25">
        <f t="shared" ca="1" si="4"/>
        <v>2061.9878752274312</v>
      </c>
      <c r="H25">
        <f ca="1">-0.4072*SIN(F25)+0.17241*SIN(E25)+0.01608*SIN(2*F25)+0.01039*SIN(2*G25)+0.00739*SIN(F25-E25)-0.00514*SIN(F25+E25)+0.00208*SIN(2*E25)-0.00111*SIN(F25-2*G25)+D25</f>
        <v>2460468.0274853935</v>
      </c>
    </row>
    <row r="26" spans="1:8">
      <c r="A26">
        <f ca="1">A25</f>
        <v>2024.4799999999996</v>
      </c>
      <c r="B26">
        <v>0.25</v>
      </c>
      <c r="C26">
        <f t="shared" ca="1" si="0"/>
        <v>302.25</v>
      </c>
      <c r="D26">
        <f t="shared" ca="1" si="1"/>
        <v>2460475.7181432373</v>
      </c>
      <c r="E26">
        <f t="shared" ca="1" si="2"/>
        <v>153.58282123669827</v>
      </c>
      <c r="F26">
        <f t="shared" ca="1" si="3"/>
        <v>2038.8017054852658</v>
      </c>
      <c r="G26">
        <f t="shared" ca="1" si="4"/>
        <v>2063.6924968686762</v>
      </c>
      <c r="H26">
        <f ca="1">-0.62801*SIN(F26)+0.17172*SIN(E26)-0.01183*SIN(F26+E26)+0.00862*SIN(2*F26)+0.00804*SIN(2*G26)+0.00454*SIN(F26-E26)+0.00204*SIN(2*E26)-0.0018*SIN(F26-2*G26)+D26+0.00306</f>
        <v>2460475.7226691451</v>
      </c>
    </row>
    <row r="27" spans="1:8">
      <c r="A27">
        <f ca="1">A26</f>
        <v>2024.4799999999996</v>
      </c>
      <c r="B27">
        <v>0.5</v>
      </c>
      <c r="C27">
        <f t="shared" ca="1" si="0"/>
        <v>302.5</v>
      </c>
      <c r="D27">
        <f t="shared" ca="1" si="1"/>
        <v>2460483.1007904527</v>
      </c>
      <c r="E27">
        <f t="shared" ca="1" si="2"/>
        <v>153.70981731279386</v>
      </c>
      <c r="F27">
        <f t="shared" ca="1" si="3"/>
        <v>2040.4851494429131</v>
      </c>
      <c r="G27">
        <f t="shared" ca="1" si="4"/>
        <v>2065.3971185099213</v>
      </c>
      <c r="H27">
        <f ca="1">-0.40614*SIN(F27)+0.17302*SIN(E27)+0.01614*SIN(2*F27)+0.01043*SIN(2*G27)+0.00734*SIN(F27-E27)-0.00515*SIN(F27+E27)+0.00209*SIN(2*E27)-0.00111*SIN(F27-2*G27)+D27</f>
        <v>2460483.5495222653</v>
      </c>
    </row>
    <row r="28" spans="1:8">
      <c r="A28">
        <f ca="1">A27</f>
        <v>2024.4799999999996</v>
      </c>
      <c r="B28">
        <v>0.75</v>
      </c>
      <c r="C28">
        <f t="shared" ca="1" si="0"/>
        <v>302.75</v>
      </c>
      <c r="D28">
        <f t="shared" ca="1" si="1"/>
        <v>2460490.4834376676</v>
      </c>
      <c r="E28">
        <f t="shared" ca="1" si="2"/>
        <v>153.83681338888945</v>
      </c>
      <c r="F28">
        <f t="shared" ca="1" si="3"/>
        <v>2042.1685934005607</v>
      </c>
      <c r="G28">
        <f t="shared" ca="1" si="4"/>
        <v>2067.1017401511663</v>
      </c>
      <c r="H28">
        <f ca="1">-0.62801*SIN(F28)+0.17172*SIN(E28)-0.01183*SIN(F28+E28)+0.00862*SIN(2*F28)+0.00804*SIN(2*G28)+0.00454*SIN(F28-E28)+0.00204*SIN(2*E28)-0.0018*SIN(F28-2*G28)+D28-0.00306</f>
        <v>2460490.4138740269</v>
      </c>
    </row>
    <row r="29" spans="1:8">
      <c r="A29">
        <f ca="1">A25+0.08</f>
        <v>2024.5599999999995</v>
      </c>
      <c r="B29">
        <v>0</v>
      </c>
      <c r="C29">
        <f t="shared" ca="1" si="0"/>
        <v>303</v>
      </c>
      <c r="D29">
        <f t="shared" ca="1" si="1"/>
        <v>2460497.866084883</v>
      </c>
      <c r="E29">
        <f t="shared" ca="1" si="2"/>
        <v>153.96380946498508</v>
      </c>
      <c r="F29">
        <f t="shared" ca="1" si="3"/>
        <v>2043.8520373582082</v>
      </c>
      <c r="G29">
        <f t="shared" ca="1" si="4"/>
        <v>2068.8063617924113</v>
      </c>
      <c r="H29">
        <f ca="1">-0.4072*SIN(F29)+0.17241*SIN(E29)+0.01608*SIN(2*F29)+0.01039*SIN(2*G29)+0.00739*SIN(F29-E29)-0.00514*SIN(F29+E29)+0.00208*SIN(2*E29)-0.00111*SIN(F29-2*G29)+D29</f>
        <v>2460497.4566563829</v>
      </c>
    </row>
    <row r="30" spans="1:8">
      <c r="A30">
        <f ca="1">A29</f>
        <v>2024.5599999999995</v>
      </c>
      <c r="B30">
        <v>0.25</v>
      </c>
      <c r="C30">
        <f t="shared" ca="1" si="0"/>
        <v>303.25</v>
      </c>
      <c r="D30">
        <f t="shared" ca="1" si="1"/>
        <v>2460505.2487320984</v>
      </c>
      <c r="E30">
        <f t="shared" ca="1" si="2"/>
        <v>154.09080554108067</v>
      </c>
      <c r="F30">
        <f t="shared" ca="1" si="3"/>
        <v>2045.5354813158558</v>
      </c>
      <c r="G30">
        <f t="shared" ca="1" si="4"/>
        <v>2070.5109834336558</v>
      </c>
      <c r="H30">
        <f ca="1">-0.62801*SIN(F30)+0.17172*SIN(E30)-0.01183*SIN(F30+E30)+0.00862*SIN(2*F30)+0.00804*SIN(2*G30)+0.00454*SIN(F30-E30)+0.00204*SIN(2*E30)-0.0018*SIN(F30-2*G30)+D30+0.00306</f>
        <v>2460505.4505983167</v>
      </c>
    </row>
    <row r="31" spans="1:8">
      <c r="A31">
        <f ca="1">A30</f>
        <v>2024.5599999999995</v>
      </c>
      <c r="B31">
        <v>0.5</v>
      </c>
      <c r="C31">
        <f t="shared" ca="1" si="0"/>
        <v>303.5</v>
      </c>
      <c r="D31">
        <f t="shared" ca="1" si="1"/>
        <v>2460512.6313793133</v>
      </c>
      <c r="E31">
        <f t="shared" ca="1" si="2"/>
        <v>154.21780161717626</v>
      </c>
      <c r="F31">
        <f t="shared" ca="1" si="3"/>
        <v>2047.2189252735031</v>
      </c>
      <c r="G31">
        <f t="shared" ca="1" si="4"/>
        <v>2072.2156050749009</v>
      </c>
      <c r="H31">
        <f ca="1">-0.40614*SIN(F31)+0.17302*SIN(E31)+0.01614*SIN(2*F31)+0.01043*SIN(2*G31)+0.00734*SIN(F31-E31)-0.00515*SIN(F31+E31)+0.00209*SIN(2*E31)-0.00111*SIN(F31-2*G31)+D31</f>
        <v>2460512.9293866386</v>
      </c>
    </row>
    <row r="32" spans="1:8">
      <c r="A32">
        <f ca="1">A31</f>
        <v>2024.5599999999995</v>
      </c>
      <c r="B32">
        <v>0.75</v>
      </c>
      <c r="C32">
        <f t="shared" ca="1" si="0"/>
        <v>303.75</v>
      </c>
      <c r="D32">
        <f t="shared" ca="1" si="1"/>
        <v>2460520.0140265287</v>
      </c>
      <c r="E32">
        <f t="shared" ca="1" si="2"/>
        <v>154.34479769327183</v>
      </c>
      <c r="F32">
        <f t="shared" ca="1" si="3"/>
        <v>2048.9023692311507</v>
      </c>
      <c r="G32">
        <f t="shared" ca="1" si="4"/>
        <v>2073.9202267161459</v>
      </c>
      <c r="H32">
        <f ca="1">-0.62801*SIN(F32)+0.17172*SIN(E32)-0.01183*SIN(F32+E32)+0.00862*SIN(2*F32)+0.00804*SIN(2*G32)+0.00454*SIN(F32-E32)+0.00204*SIN(2*E32)-0.0018*SIN(F32-2*G32)+D32-0.00306</f>
        <v>2460519.6224019388</v>
      </c>
    </row>
    <row r="33" spans="1:8">
      <c r="A33">
        <f ca="1">A29+0.08</f>
        <v>2024.6399999999994</v>
      </c>
      <c r="B33">
        <v>0</v>
      </c>
      <c r="C33">
        <f t="shared" ref="C33:C56" ca="1" si="5">INT((A33-2000)*12.3685)+B33</f>
        <v>304</v>
      </c>
      <c r="D33">
        <f t="shared" ref="D33:D56" ca="1" si="6">2451550.09766+29.530588861*C33</f>
        <v>2460527.3966737441</v>
      </c>
      <c r="E33">
        <f t="shared" ref="E33:E56" ca="1" si="7">(2.5534+29.1053567*C33)*PI()/180</f>
        <v>154.47179376936748</v>
      </c>
      <c r="F33">
        <f t="shared" ref="F33:F56" ca="1" si="8">(201.5643+385.81693528*C33)*PI()/180</f>
        <v>2050.5858131887981</v>
      </c>
      <c r="G33">
        <f t="shared" ref="G33:G56" ca="1" si="9">(160.7108+390.67050284*C33)*PI()/180</f>
        <v>2075.6248483573909</v>
      </c>
      <c r="H33">
        <f ca="1">-0.4072*SIN(F33)+0.17241*SIN(E33)+0.01608*SIN(2*F33)+0.01039*SIN(2*G33)+0.00739*SIN(F33-E33)-0.00514*SIN(F33+E33)+0.00208*SIN(2*E33)-0.00111*SIN(F33-2*G33)+D33</f>
        <v>2460526.9683074709</v>
      </c>
    </row>
    <row r="34" spans="1:8">
      <c r="A34">
        <f ca="1">A33</f>
        <v>2024.6399999999994</v>
      </c>
      <c r="B34">
        <v>0.25</v>
      </c>
      <c r="C34">
        <f t="shared" ca="1" si="5"/>
        <v>304.25</v>
      </c>
      <c r="D34">
        <f t="shared" ca="1" si="6"/>
        <v>2460534.779320959</v>
      </c>
      <c r="E34">
        <f t="shared" ca="1" si="7"/>
        <v>154.59878984546305</v>
      </c>
      <c r="F34">
        <f t="shared" ca="1" si="8"/>
        <v>2052.2692571464459</v>
      </c>
      <c r="G34">
        <f t="shared" ca="1" si="9"/>
        <v>2077.3294699986359</v>
      </c>
      <c r="H34">
        <f ca="1">-0.62801*SIN(F34)+0.17172*SIN(E34)-0.01183*SIN(F34+E34)+0.00862*SIN(2*F34)+0.00804*SIN(2*G34)+0.00454*SIN(F34-E34)+0.00204*SIN(2*E34)-0.0018*SIN(F34-2*G34)+D34+0.00306</f>
        <v>2460535.1379127004</v>
      </c>
    </row>
    <row r="35" spans="1:8">
      <c r="A35">
        <f ca="1">A34</f>
        <v>2024.6399999999994</v>
      </c>
      <c r="B35">
        <v>0.5</v>
      </c>
      <c r="C35">
        <f t="shared" ca="1" si="5"/>
        <v>304.5</v>
      </c>
      <c r="D35">
        <f t="shared" ca="1" si="6"/>
        <v>2460542.1619681744</v>
      </c>
      <c r="E35">
        <f t="shared" ca="1" si="7"/>
        <v>154.72578592155864</v>
      </c>
      <c r="F35">
        <f t="shared" ca="1" si="8"/>
        <v>2053.9527011040932</v>
      </c>
      <c r="G35">
        <f t="shared" ca="1" si="9"/>
        <v>2079.0340916398809</v>
      </c>
      <c r="H35">
        <f ca="1">-0.40614*SIN(F35)+0.17302*SIN(E35)+0.01614*SIN(2*F35)+0.01043*SIN(2*G35)+0.00734*SIN(F35-E35)-0.00515*SIN(F35+E35)+0.00209*SIN(2*E35)-0.00111*SIN(F35-2*G35)+D35</f>
        <v>2460542.2682679882</v>
      </c>
    </row>
    <row r="36" spans="1:8">
      <c r="A36">
        <f ca="1">A35</f>
        <v>2024.6399999999994</v>
      </c>
      <c r="B36">
        <v>0.75</v>
      </c>
      <c r="C36">
        <f t="shared" ca="1" si="5"/>
        <v>304.75</v>
      </c>
      <c r="D36">
        <f t="shared" ca="1" si="6"/>
        <v>2460549.5446153898</v>
      </c>
      <c r="E36">
        <f t="shared" ca="1" si="7"/>
        <v>154.85278199765423</v>
      </c>
      <c r="F36">
        <f t="shared" ca="1" si="8"/>
        <v>2055.6361450617405</v>
      </c>
      <c r="G36">
        <f t="shared" ca="1" si="9"/>
        <v>2080.7387132811255</v>
      </c>
      <c r="H36">
        <f ca="1">-0.62801*SIN(F36)+0.17172*SIN(E36)-0.01183*SIN(F36+E36)+0.00862*SIN(2*F36)+0.00804*SIN(2*G36)+0.00454*SIN(F36-E36)+0.00204*SIN(2*E36)-0.0018*SIN(F36-2*G36)+D36-0.00306</f>
        <v>2460548.8943900592</v>
      </c>
    </row>
    <row r="37" spans="1:8">
      <c r="A37">
        <f ca="1">A33+0.08</f>
        <v>2024.7199999999993</v>
      </c>
      <c r="B37">
        <v>0</v>
      </c>
      <c r="C37">
        <f t="shared" ca="1" si="5"/>
        <v>305</v>
      </c>
      <c r="D37">
        <f t="shared" ca="1" si="6"/>
        <v>2460556.9272626052</v>
      </c>
      <c r="E37">
        <f t="shared" ca="1" si="7"/>
        <v>154.97977807374986</v>
      </c>
      <c r="F37">
        <f t="shared" ca="1" si="8"/>
        <v>2057.3195890193879</v>
      </c>
      <c r="G37">
        <f t="shared" ca="1" si="9"/>
        <v>2082.4433349223709</v>
      </c>
      <c r="H37">
        <f ca="1">-0.4072*SIN(F37)+0.17241*SIN(E37)+0.01608*SIN(2*F37)+0.01039*SIN(2*G37)+0.00739*SIN(F37-E37)-0.00514*SIN(F37+E37)+0.00208*SIN(2*E37)-0.00111*SIN(F37-2*G37)+D37</f>
        <v>2460556.5830463092</v>
      </c>
    </row>
    <row r="38" spans="1:8">
      <c r="A38">
        <f ca="1">A37</f>
        <v>2024.7199999999993</v>
      </c>
      <c r="B38">
        <v>0.25</v>
      </c>
      <c r="C38">
        <f t="shared" ca="1" si="5"/>
        <v>305.25</v>
      </c>
      <c r="D38">
        <f t="shared" ca="1" si="6"/>
        <v>2460564.3099098201</v>
      </c>
      <c r="E38">
        <f t="shared" ca="1" si="7"/>
        <v>155.10677414984545</v>
      </c>
      <c r="F38">
        <f t="shared" ca="1" si="8"/>
        <v>2059.0030329770352</v>
      </c>
      <c r="G38">
        <f t="shared" ca="1" si="9"/>
        <v>2084.1479565636159</v>
      </c>
      <c r="H38">
        <f ca="1">-0.62801*SIN(F38)+0.17172*SIN(E38)-0.01183*SIN(F38+E38)+0.00862*SIN(2*F38)+0.00804*SIN(2*G38)+0.00454*SIN(F38-E38)+0.00204*SIN(2*E38)-0.0018*SIN(F38-2*G38)+D38+0.00306</f>
        <v>2460564.7547987052</v>
      </c>
    </row>
    <row r="39" spans="1:8">
      <c r="A39">
        <f ca="1">A38</f>
        <v>2024.7199999999993</v>
      </c>
      <c r="B39">
        <v>0.5</v>
      </c>
      <c r="C39">
        <f t="shared" ca="1" si="5"/>
        <v>305.5</v>
      </c>
      <c r="D39">
        <f t="shared" ca="1" si="6"/>
        <v>2460571.6925570355</v>
      </c>
      <c r="E39">
        <f t="shared" ca="1" si="7"/>
        <v>155.23377022594102</v>
      </c>
      <c r="F39">
        <f t="shared" ca="1" si="8"/>
        <v>2060.6864769346826</v>
      </c>
      <c r="G39">
        <f t="shared" ca="1" si="9"/>
        <v>2085.8525782048605</v>
      </c>
      <c r="H39">
        <f ca="1">-0.40614*SIN(F39)+0.17302*SIN(E39)+0.01614*SIN(2*F39)+0.01043*SIN(2*G39)+0.00734*SIN(F39-E39)-0.00515*SIN(F39+E39)+0.00209*SIN(2*E39)-0.00111*SIN(F39-2*G39)+D39</f>
        <v>2460571.6092893132</v>
      </c>
    </row>
    <row r="40" spans="1:8">
      <c r="A40">
        <f ca="1">A39</f>
        <v>2024.7199999999993</v>
      </c>
      <c r="B40">
        <v>0.75</v>
      </c>
      <c r="C40">
        <f t="shared" ca="1" si="5"/>
        <v>305.75</v>
      </c>
      <c r="D40">
        <f t="shared" ca="1" si="6"/>
        <v>2460579.0752042509</v>
      </c>
      <c r="E40">
        <f t="shared" ca="1" si="7"/>
        <v>155.36076630203664</v>
      </c>
      <c r="F40">
        <f t="shared" ca="1" si="8"/>
        <v>2062.3699208923304</v>
      </c>
      <c r="G40">
        <f t="shared" ca="1" si="9"/>
        <v>2087.5571998461055</v>
      </c>
      <c r="H40">
        <f ca="1">-0.62801*SIN(F40)+0.17172*SIN(E40)-0.01183*SIN(F40+E40)+0.00862*SIN(2*F40)+0.00804*SIN(2*G40)+0.00454*SIN(F40-E40)+0.00204*SIN(2*E40)-0.0018*SIN(F40-2*G40)+D40-0.00306</f>
        <v>2460578.283416817</v>
      </c>
    </row>
    <row r="41" spans="1:8">
      <c r="A41">
        <f ca="1">A37+0.08</f>
        <v>2024.7999999999993</v>
      </c>
      <c r="B41">
        <v>0</v>
      </c>
      <c r="C41">
        <f t="shared" ca="1" si="5"/>
        <v>306</v>
      </c>
      <c r="D41">
        <f t="shared" ca="1" si="6"/>
        <v>2460586.4578514658</v>
      </c>
      <c r="E41">
        <f t="shared" ca="1" si="7"/>
        <v>155.48776237813223</v>
      </c>
      <c r="F41">
        <f t="shared" ca="1" si="8"/>
        <v>2064.0533648499777</v>
      </c>
      <c r="G41">
        <f t="shared" ca="1" si="9"/>
        <v>2089.2618214873505</v>
      </c>
      <c r="H41">
        <f ca="1">-0.4072*SIN(F41)+0.17241*SIN(E41)+0.01608*SIN(2*F41)+0.01039*SIN(2*G41)+0.00739*SIN(F41-E41)-0.00514*SIN(F41+E41)+0.00208*SIN(2*E41)-0.00111*SIN(F41-2*G41)+D41</f>
        <v>2460586.2868254906</v>
      </c>
    </row>
    <row r="42" spans="1:8">
      <c r="A42">
        <f ca="1">A41</f>
        <v>2024.7999999999993</v>
      </c>
      <c r="B42">
        <v>0.25</v>
      </c>
      <c r="C42">
        <f t="shared" ca="1" si="5"/>
        <v>306.25</v>
      </c>
      <c r="D42">
        <f t="shared" ca="1" si="6"/>
        <v>2460593.8404986812</v>
      </c>
      <c r="E42">
        <f t="shared" ca="1" si="7"/>
        <v>155.61475845422783</v>
      </c>
      <c r="F42">
        <f t="shared" ca="1" si="8"/>
        <v>2065.7368088076255</v>
      </c>
      <c r="G42">
        <f t="shared" ca="1" si="9"/>
        <v>2090.9664431285955</v>
      </c>
      <c r="H42">
        <f ca="1">-0.62801*SIN(F42)+0.17172*SIN(E42)-0.01183*SIN(F42+E42)+0.00862*SIN(2*F42)+0.00804*SIN(2*G42)+0.00454*SIN(F42-E42)+0.00204*SIN(2*E42)-0.0018*SIN(F42-2*G42)+D42+0.00306</f>
        <v>2460594.289557986</v>
      </c>
    </row>
    <row r="43" spans="1:8">
      <c r="A43">
        <f ca="1">A42</f>
        <v>2024.7999999999993</v>
      </c>
      <c r="B43">
        <v>0.5</v>
      </c>
      <c r="C43">
        <f t="shared" ca="1" si="5"/>
        <v>306.5</v>
      </c>
      <c r="D43">
        <f t="shared" ca="1" si="6"/>
        <v>2460601.2231458966</v>
      </c>
      <c r="E43">
        <f t="shared" ca="1" si="7"/>
        <v>155.74175453032342</v>
      </c>
      <c r="F43">
        <f t="shared" ca="1" si="8"/>
        <v>2067.4202527652728</v>
      </c>
      <c r="G43">
        <f t="shared" ca="1" si="9"/>
        <v>2092.6710647698405</v>
      </c>
      <c r="H43">
        <f ca="1">-0.40614*SIN(F43)+0.17302*SIN(E43)+0.01614*SIN(2*F43)+0.01043*SIN(2*G43)+0.00734*SIN(F43-E43)-0.00515*SIN(F43+E43)+0.00209*SIN(2*E43)-0.00111*SIN(F43-2*G43)+D43</f>
        <v>2460600.97973498</v>
      </c>
    </row>
    <row r="44" spans="1:8">
      <c r="A44">
        <f ca="1">A43</f>
        <v>2024.7999999999993</v>
      </c>
      <c r="B44">
        <v>0.75</v>
      </c>
      <c r="C44">
        <f t="shared" ca="1" si="5"/>
        <v>306.75</v>
      </c>
      <c r="D44">
        <f t="shared" ca="1" si="6"/>
        <v>2460608.6057931115</v>
      </c>
      <c r="E44">
        <f t="shared" ca="1" si="7"/>
        <v>155.86875060641904</v>
      </c>
      <c r="F44">
        <f t="shared" ca="1" si="8"/>
        <v>2069.1036967229202</v>
      </c>
      <c r="G44">
        <f t="shared" ca="1" si="9"/>
        <v>2094.3756864110856</v>
      </c>
      <c r="H44">
        <f ca="1">-0.62801*SIN(F44)+0.17172*SIN(E44)-0.01183*SIN(F44+E44)+0.00862*SIN(2*F44)+0.00804*SIN(2*G44)+0.00454*SIN(F44-E44)+0.00204*SIN(2*E44)-0.0018*SIN(F44-2*G44)+D44-0.00306</f>
        <v>2460607.8350416888</v>
      </c>
    </row>
    <row r="45" spans="1:8">
      <c r="A45">
        <f ca="1">A41+0.08</f>
        <v>2024.8799999999992</v>
      </c>
      <c r="B45">
        <v>0</v>
      </c>
      <c r="C45">
        <f t="shared" ca="1" si="5"/>
        <v>307</v>
      </c>
      <c r="D45">
        <f t="shared" ca="1" si="6"/>
        <v>2460615.9884403269</v>
      </c>
      <c r="E45">
        <f t="shared" ca="1" si="7"/>
        <v>155.99574668251464</v>
      </c>
      <c r="F45">
        <f t="shared" ca="1" si="8"/>
        <v>2070.787140680568</v>
      </c>
      <c r="G45">
        <f t="shared" ca="1" si="9"/>
        <v>2096.0803080523306</v>
      </c>
      <c r="H45">
        <f ca="1">-0.4072*SIN(F45)+0.17241*SIN(E45)+0.01608*SIN(2*F45)+0.01039*SIN(2*G45)+0.00739*SIN(F45-E45)-0.00514*SIN(F45+E45)+0.00208*SIN(2*E45)-0.00111*SIN(F45-2*G45)+D45</f>
        <v>2460616.0334656863</v>
      </c>
    </row>
    <row r="46" spans="1:8">
      <c r="A46">
        <f ca="1">A45</f>
        <v>2024.8799999999992</v>
      </c>
      <c r="B46">
        <v>0.25</v>
      </c>
      <c r="C46">
        <f t="shared" ca="1" si="5"/>
        <v>307.25</v>
      </c>
      <c r="D46">
        <f t="shared" ca="1" si="6"/>
        <v>2460623.3710875423</v>
      </c>
      <c r="E46">
        <f t="shared" ca="1" si="7"/>
        <v>156.12274275861023</v>
      </c>
      <c r="F46">
        <f t="shared" ca="1" si="8"/>
        <v>2072.4705846382153</v>
      </c>
      <c r="G46">
        <f t="shared" ca="1" si="9"/>
        <v>2097.7849296935751</v>
      </c>
      <c r="H46">
        <f ca="1">-0.62801*SIN(F46)+0.17172*SIN(E46)-0.01183*SIN(F46+E46)+0.00862*SIN(2*F46)+0.00804*SIN(2*G46)+0.00454*SIN(F46-E46)+0.00204*SIN(2*E46)-0.0018*SIN(F46-2*G46)+D46+0.00306</f>
        <v>2460623.7475061137</v>
      </c>
    </row>
    <row r="47" spans="1:8">
      <c r="A47">
        <f ca="1">A46</f>
        <v>2024.8799999999992</v>
      </c>
      <c r="B47">
        <v>0.5</v>
      </c>
      <c r="C47">
        <f t="shared" ca="1" si="5"/>
        <v>307.5</v>
      </c>
      <c r="D47">
        <f t="shared" ca="1" si="6"/>
        <v>2460630.7537347577</v>
      </c>
      <c r="E47">
        <f t="shared" ca="1" si="7"/>
        <v>156.24973883470582</v>
      </c>
      <c r="F47">
        <f t="shared" ca="1" si="8"/>
        <v>2074.1540285958627</v>
      </c>
      <c r="G47">
        <f t="shared" ca="1" si="9"/>
        <v>2099.4895513348206</v>
      </c>
      <c r="H47">
        <f ca="1">-0.40614*SIN(F47)+0.17302*SIN(E47)+0.01614*SIN(2*F47)+0.01043*SIN(2*G47)+0.00734*SIN(F47-E47)-0.00515*SIN(F47+E47)+0.00209*SIN(2*E47)-0.00111*SIN(F47-2*G47)+D47</f>
        <v>2460630.3964842591</v>
      </c>
    </row>
    <row r="48" spans="1:8">
      <c r="A48">
        <f ca="1">A47</f>
        <v>2024.8799999999992</v>
      </c>
      <c r="B48">
        <v>0.75</v>
      </c>
      <c r="C48">
        <f t="shared" ca="1" si="5"/>
        <v>307.75</v>
      </c>
      <c r="D48">
        <f t="shared" ca="1" si="6"/>
        <v>2460638.1363819726</v>
      </c>
      <c r="E48">
        <f t="shared" ca="1" si="7"/>
        <v>156.37673491080145</v>
      </c>
      <c r="F48">
        <f t="shared" ca="1" si="8"/>
        <v>2075.83747255351</v>
      </c>
      <c r="G48">
        <f t="shared" ca="1" si="9"/>
        <v>2101.1941729760656</v>
      </c>
      <c r="H48">
        <f ca="1">-0.62801*SIN(F48)+0.17172*SIN(E48)-0.01183*SIN(F48+E48)+0.00862*SIN(2*F48)+0.00804*SIN(2*G48)+0.00454*SIN(F48-E48)+0.00204*SIN(2*E48)-0.0018*SIN(F48-2*G48)+D48-0.00306</f>
        <v>2460637.5632110122</v>
      </c>
    </row>
    <row r="49" spans="1:8">
      <c r="A49">
        <f ca="1">A45+0.08</f>
        <v>2024.9599999999991</v>
      </c>
      <c r="B49">
        <v>0</v>
      </c>
      <c r="C49">
        <f t="shared" ca="1" si="5"/>
        <v>308</v>
      </c>
      <c r="D49">
        <f t="shared" ca="1" si="6"/>
        <v>2460645.519029188</v>
      </c>
      <c r="E49">
        <f t="shared" ca="1" si="7"/>
        <v>156.50373098689701</v>
      </c>
      <c r="F49">
        <f t="shared" ca="1" si="8"/>
        <v>2077.5209165111573</v>
      </c>
      <c r="G49">
        <f t="shared" ca="1" si="9"/>
        <v>2102.8987946173102</v>
      </c>
      <c r="H49">
        <f ca="1">-0.4072*SIN(F49)+0.17241*SIN(E49)+0.01608*SIN(2*F49)+0.01039*SIN(2*G49)+0.00739*SIN(F49-E49)-0.00514*SIN(F49+E49)+0.00208*SIN(2*E49)-0.00111*SIN(F49-2*G49)+D49</f>
        <v>2460645.7653588238</v>
      </c>
    </row>
    <row r="50" spans="1:8">
      <c r="A50">
        <f ca="1">A49</f>
        <v>2024.9599999999991</v>
      </c>
      <c r="B50">
        <v>0.25</v>
      </c>
      <c r="C50">
        <f t="shared" ca="1" si="5"/>
        <v>308.25</v>
      </c>
      <c r="D50">
        <f t="shared" ca="1" si="6"/>
        <v>2460652.9016764034</v>
      </c>
      <c r="E50">
        <f t="shared" ca="1" si="7"/>
        <v>156.63072706299261</v>
      </c>
      <c r="F50">
        <f t="shared" ca="1" si="8"/>
        <v>2079.2043604688051</v>
      </c>
      <c r="G50">
        <f t="shared" ca="1" si="9"/>
        <v>2104.6034162585552</v>
      </c>
      <c r="H50">
        <f ca="1">-0.62801*SIN(F50)+0.17172*SIN(E50)-0.01183*SIN(F50+E50)+0.00862*SIN(2*F50)+0.00804*SIN(2*G50)+0.00454*SIN(F50-E50)+0.00204*SIN(2*E50)-0.0018*SIN(F50-2*G50)+D50+0.00306</f>
        <v>2460653.1439743978</v>
      </c>
    </row>
    <row r="51" spans="1:8">
      <c r="A51">
        <f ca="1">A50</f>
        <v>2024.9599999999991</v>
      </c>
      <c r="B51">
        <v>0.5</v>
      </c>
      <c r="C51">
        <f t="shared" ca="1" si="5"/>
        <v>308.5</v>
      </c>
      <c r="D51">
        <f t="shared" ca="1" si="6"/>
        <v>2460660.2843236183</v>
      </c>
      <c r="E51">
        <f t="shared" ca="1" si="7"/>
        <v>156.7577231390882</v>
      </c>
      <c r="F51">
        <f t="shared" ca="1" si="8"/>
        <v>2080.8878044264525</v>
      </c>
      <c r="G51">
        <f t="shared" ca="1" si="9"/>
        <v>2106.3080378998002</v>
      </c>
      <c r="H51">
        <f ca="1">-0.40614*SIN(F51)+0.17302*SIN(E51)+0.01614*SIN(2*F51)+0.01043*SIN(2*G51)+0.00734*SIN(F51-E51)-0.00515*SIN(F51+E51)+0.00209*SIN(2*E51)-0.00111*SIN(F51-2*G51)+D51</f>
        <v>2460659.8762821849</v>
      </c>
    </row>
    <row r="52" spans="1:8">
      <c r="A52">
        <f ca="1">A51</f>
        <v>2024.9599999999991</v>
      </c>
      <c r="B52">
        <v>0.75</v>
      </c>
      <c r="C52">
        <f t="shared" ca="1" si="5"/>
        <v>308.75</v>
      </c>
      <c r="D52">
        <f t="shared" ca="1" si="6"/>
        <v>2460667.6669708337</v>
      </c>
      <c r="E52">
        <f t="shared" ca="1" si="7"/>
        <v>156.88471921518382</v>
      </c>
      <c r="F52">
        <f t="shared" ca="1" si="8"/>
        <v>2082.5712483841003</v>
      </c>
      <c r="G52">
        <f t="shared" ca="1" si="9"/>
        <v>2108.0126595410452</v>
      </c>
      <c r="H52">
        <f ca="1">-0.62801*SIN(F52)+0.17172*SIN(E52)-0.01183*SIN(F52+E52)+0.00862*SIN(2*F52)+0.00804*SIN(2*G52)+0.00454*SIN(F52-E52)+0.00204*SIN(2*E52)-0.0018*SIN(F52-2*G52)+D52-0.00306</f>
        <v>2460667.430887403</v>
      </c>
    </row>
    <row r="53" spans="1:8">
      <c r="A53">
        <f ca="1">A49+0.08</f>
        <v>2025.0399999999991</v>
      </c>
      <c r="B53">
        <v>0</v>
      </c>
      <c r="C53">
        <f t="shared" ca="1" si="5"/>
        <v>309</v>
      </c>
      <c r="D53">
        <f t="shared" ca="1" si="6"/>
        <v>2460675.0496180491</v>
      </c>
      <c r="E53">
        <f t="shared" ca="1" si="7"/>
        <v>157.01171529127942</v>
      </c>
      <c r="F53">
        <f t="shared" ca="1" si="8"/>
        <v>2084.2546923417476</v>
      </c>
      <c r="G53">
        <f t="shared" ca="1" si="9"/>
        <v>2109.7172811822902</v>
      </c>
      <c r="H53">
        <f ca="1">-0.4072*SIN(F53)+0.17241*SIN(E53)+0.01608*SIN(2*F53)+0.01039*SIN(2*G53)+0.00739*SIN(F53-E53)-0.00514*SIN(F53+E53)+0.00208*SIN(2*E53)-0.00111*SIN(F53-2*G53)+D53</f>
        <v>2460675.4371914379</v>
      </c>
    </row>
    <row r="54" spans="1:8">
      <c r="A54">
        <f ca="1">A53</f>
        <v>2025.0399999999991</v>
      </c>
      <c r="B54">
        <v>0.25</v>
      </c>
      <c r="C54">
        <f t="shared" ca="1" si="5"/>
        <v>309.25</v>
      </c>
      <c r="D54">
        <f t="shared" ca="1" si="6"/>
        <v>2460682.4322652644</v>
      </c>
      <c r="E54">
        <f t="shared" ca="1" si="7"/>
        <v>157.13871136737498</v>
      </c>
      <c r="F54">
        <f t="shared" ca="1" si="8"/>
        <v>2085.938136299395</v>
      </c>
      <c r="G54">
        <f t="shared" ca="1" si="9"/>
        <v>2111.4219028235352</v>
      </c>
      <c r="H54">
        <f ca="1">-0.62801*SIN(F54)+0.17172*SIN(E54)-0.01183*SIN(F54+E54)+0.00862*SIN(2*F54)+0.00804*SIN(2*G54)+0.00454*SIN(F54-E54)+0.00204*SIN(2*E54)-0.0018*SIN(F54-2*G54)+D54+0.00306</f>
        <v>2460682.4989642273</v>
      </c>
    </row>
    <row r="55" spans="1:8">
      <c r="A55">
        <f ca="1">A54</f>
        <v>2025.0399999999991</v>
      </c>
      <c r="B55">
        <v>0.5</v>
      </c>
      <c r="C55">
        <f t="shared" ca="1" si="5"/>
        <v>309.5</v>
      </c>
      <c r="D55">
        <f t="shared" ca="1" si="6"/>
        <v>2460689.8149124794</v>
      </c>
      <c r="E55">
        <f t="shared" ca="1" si="7"/>
        <v>157.2657074434706</v>
      </c>
      <c r="F55">
        <f t="shared" ca="1" si="8"/>
        <v>2087.6215802570428</v>
      </c>
      <c r="G55">
        <f t="shared" ca="1" si="9"/>
        <v>2113.1265244647798</v>
      </c>
      <c r="H55">
        <f ca="1">-0.40614*SIN(F55)+0.17302*SIN(E55)+0.01614*SIN(2*F55)+0.01043*SIN(2*G55)+0.00734*SIN(F55-E55)-0.00515*SIN(F55+E55)+0.00209*SIN(2*E55)-0.00111*SIN(F55-2*G55)+D55</f>
        <v>2460689.4361511618</v>
      </c>
    </row>
    <row r="56" spans="1:8">
      <c r="A56">
        <f ca="1">A55</f>
        <v>2025.0399999999991</v>
      </c>
      <c r="B56">
        <v>0.75</v>
      </c>
      <c r="C56">
        <f t="shared" ca="1" si="5"/>
        <v>309.75</v>
      </c>
      <c r="D56">
        <f t="shared" ca="1" si="6"/>
        <v>2460697.1975596948</v>
      </c>
      <c r="E56">
        <f t="shared" ca="1" si="7"/>
        <v>157.3927035195662</v>
      </c>
      <c r="F56">
        <f t="shared" ca="1" si="8"/>
        <v>2089.3050242146901</v>
      </c>
      <c r="G56">
        <f t="shared" ca="1" si="9"/>
        <v>2114.8311461060248</v>
      </c>
      <c r="H56">
        <f ca="1">-0.62801*SIN(F56)+0.17172*SIN(E56)-0.01183*SIN(F56+E56)+0.00862*SIN(2*F56)+0.00804*SIN(2*G56)+0.00454*SIN(F56-E56)+0.00204*SIN(2*E56)-0.0018*SIN(F56-2*G56)+D56-0.00306</f>
        <v>2460697.3540058518</v>
      </c>
    </row>
  </sheetData>
  <sheetProtection algorithmName="SHA-512" hashValue="CyeZpj3VAM+k798BzOwWSLlcDdwPtpgxGTQ54+n55eBU3SmL/vzrT4WuuyvURxK1B9i3w88Vnv81bDNQuempqQ==" saltValue="TtXGPMkPxbBdEnymLu4IPw==" spinCount="100000" sheet="1" selectLockedCells="1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</sheetPr>
  <dimension ref="B1:Z473"/>
  <sheetViews>
    <sheetView showGridLines="0" zoomScale="85" zoomScaleNormal="85" workbookViewId="0">
      <pane ySplit="2" topLeftCell="A3" activePane="bottomLeft" state="frozen"/>
      <selection pane="bottomLeft" activeCell="M2" sqref="M2"/>
    </sheetView>
  </sheetViews>
  <sheetFormatPr baseColWidth="10" defaultColWidth="11.5703125" defaultRowHeight="15.6" customHeight="1"/>
  <cols>
    <col min="1" max="1" width="21.85546875" style="74" customWidth="1"/>
    <col min="2" max="2" width="14.5703125" style="74" hidden="1" customWidth="1"/>
    <col min="3" max="3" width="14.7109375" style="74" hidden="1" customWidth="1"/>
    <col min="4" max="4" width="15.42578125" style="76" hidden="1" customWidth="1"/>
    <col min="5" max="5" width="78.140625" style="89" hidden="1" customWidth="1"/>
    <col min="6" max="6" width="34.7109375" style="74" customWidth="1"/>
    <col min="7" max="7" width="13.28515625" style="74" customWidth="1"/>
    <col min="8" max="8" width="8.7109375" style="74" hidden="1" customWidth="1"/>
    <col min="9" max="9" width="34.7109375" style="74" customWidth="1"/>
    <col min="10" max="10" width="13.28515625" style="74" customWidth="1"/>
    <col min="11" max="11" width="8.7109375" style="74" hidden="1" customWidth="1"/>
    <col min="12" max="12" width="34.7109375" style="74" customWidth="1"/>
    <col min="13" max="13" width="13.28515625" style="74" customWidth="1"/>
    <col min="14" max="14" width="8.7109375" style="74" hidden="1" customWidth="1"/>
    <col min="15" max="16" width="11.5703125" style="75" hidden="1" customWidth="1"/>
    <col min="17" max="17" width="5" style="75" customWidth="1"/>
    <col min="18" max="18" width="80.7109375" style="74" customWidth="1"/>
    <col min="19" max="19" width="15.42578125" style="74" customWidth="1"/>
    <col min="20" max="20" width="15.42578125" style="84" customWidth="1"/>
    <col min="21" max="21" width="15.42578125" style="92" customWidth="1"/>
    <col min="22" max="22" width="40.7109375" style="74" customWidth="1"/>
    <col min="23" max="23" width="78.5703125" style="93" customWidth="1"/>
    <col min="24" max="24" width="63.5703125" style="74" customWidth="1"/>
    <col min="25" max="26" width="18.5703125" style="74" customWidth="1"/>
    <col min="27" max="27" width="32.28515625" style="74" customWidth="1"/>
    <col min="28" max="28" width="31.42578125" style="74" customWidth="1"/>
    <col min="29" max="16384" width="11.5703125" style="74"/>
  </cols>
  <sheetData>
    <row r="1" spans="2:26" ht="39.75" customHeight="1" thickTop="1" thickBot="1">
      <c r="F1" s="512" t="s">
        <v>5</v>
      </c>
      <c r="G1" s="513">
        <f ca="1">Kalender!B2</f>
        <v>2024</v>
      </c>
      <c r="H1" s="87"/>
      <c r="I1" s="61"/>
      <c r="K1" s="501"/>
      <c r="L1" s="502" t="s">
        <v>227</v>
      </c>
      <c r="M1" s="503">
        <v>35800</v>
      </c>
      <c r="R1" s="504" t="s">
        <v>228</v>
      </c>
      <c r="S1" s="346"/>
    </row>
    <row r="2" spans="2:26" ht="20.100000000000001" customHeight="1" thickBot="1">
      <c r="D2" s="466"/>
      <c r="E2" s="466" t="s">
        <v>6</v>
      </c>
      <c r="F2" s="467" t="s">
        <v>7</v>
      </c>
      <c r="G2" s="78" t="s">
        <v>8</v>
      </c>
      <c r="H2" s="79" t="s">
        <v>9</v>
      </c>
      <c r="I2" s="77" t="s">
        <v>10</v>
      </c>
      <c r="J2" s="78" t="s">
        <v>8</v>
      </c>
      <c r="K2" s="79" t="s">
        <v>9</v>
      </c>
      <c r="L2" s="352" t="s">
        <v>11</v>
      </c>
      <c r="M2" s="78" t="s">
        <v>8</v>
      </c>
      <c r="N2" s="99" t="s">
        <v>9</v>
      </c>
      <c r="O2" s="73" t="s">
        <v>50</v>
      </c>
      <c r="P2" s="73" t="s">
        <v>51</v>
      </c>
      <c r="Q2" s="80"/>
      <c r="R2" s="346"/>
      <c r="S2" s="346"/>
      <c r="V2" s="81"/>
      <c r="W2" s="94"/>
    </row>
    <row r="3" spans="2:26" ht="20.100000000000001" customHeight="1" thickBot="1">
      <c r="B3" s="88">
        <f ca="1">IFERROR(IF(MONTH(D3)=1,D3,""),"")</f>
        <v>45296</v>
      </c>
      <c r="C3" s="88"/>
      <c r="D3" s="468">
        <f t="shared" ref="D3:D66" ca="1" si="0">IF(F3="","",DATE($G$1,O3,P3))</f>
        <v>45296</v>
      </c>
      <c r="E3" s="342" t="str">
        <f t="shared" ref="E3:E66" ca="1" si="1">IF(F3="","",IF(I3="",CONCATENATE(F3," (",H3,")"),IF(L3="",CONCATENATE(F3," (",H3,")  / ",I3," (",K3,")"),CONCATENATE(F3," (",H3,")  / ",I3," (",K3,")  / ",L3," (",N3,")"))))</f>
        <v>Person 1 (24)  / Person 2 (26)  / Person 3 (40)</v>
      </c>
      <c r="F3" s="626" t="s">
        <v>273</v>
      </c>
      <c r="G3" s="169">
        <v>36530</v>
      </c>
      <c r="H3" s="91">
        <f t="shared" ref="H3:H66" ca="1" si="2">IF(F3="","",$G$1-YEAR(G3))</f>
        <v>24</v>
      </c>
      <c r="I3" s="633" t="s">
        <v>274</v>
      </c>
      <c r="J3" s="172">
        <v>35800</v>
      </c>
      <c r="K3" s="458">
        <f t="shared" ref="K3:K66" ca="1" si="3">IF(I3="","",$G$1-YEAR(J3))</f>
        <v>26</v>
      </c>
      <c r="L3" s="642" t="s">
        <v>275</v>
      </c>
      <c r="M3" s="353">
        <v>30686</v>
      </c>
      <c r="N3" s="461">
        <f t="shared" ref="N3:N66" ca="1" si="4">IF(L3="","",$G$1-YEAR(M3))</f>
        <v>40</v>
      </c>
      <c r="O3" s="82">
        <f t="shared" ref="O3:O34" si="5">IF(F3="","",MONTH(G3))</f>
        <v>1</v>
      </c>
      <c r="P3" s="73">
        <f t="shared" ref="P3:P34" si="6">IF(F3="","",DAY(G3))</f>
        <v>5</v>
      </c>
      <c r="Q3" s="83"/>
      <c r="R3" s="346" t="s">
        <v>46</v>
      </c>
      <c r="S3" s="343"/>
      <c r="T3" s="343"/>
      <c r="U3" s="343"/>
      <c r="V3" s="97"/>
      <c r="W3" s="96"/>
      <c r="X3" s="85"/>
      <c r="Y3" s="86"/>
      <c r="Z3" s="86"/>
    </row>
    <row r="4" spans="2:26" ht="20.100000000000001" customHeight="1">
      <c r="B4" s="88" t="str">
        <f t="shared" ref="B4:B67" ca="1" si="7">IFERROR(IF(MONTH(D4)=1,D4,""),"")</f>
        <v/>
      </c>
      <c r="C4" s="88"/>
      <c r="D4" s="468">
        <f t="shared" ca="1" si="0"/>
        <v>45422</v>
      </c>
      <c r="E4" s="342" t="str">
        <f t="shared" si="1"/>
        <v>Person 4 ()</v>
      </c>
      <c r="F4" s="626" t="s">
        <v>276</v>
      </c>
      <c r="G4" s="169">
        <v>38117</v>
      </c>
      <c r="H4" s="458"/>
      <c r="I4" s="634"/>
      <c r="J4" s="169"/>
      <c r="K4" s="459" t="str">
        <f t="shared" si="3"/>
        <v/>
      </c>
      <c r="L4" s="638"/>
      <c r="M4" s="100"/>
      <c r="N4" s="462" t="str">
        <f t="shared" si="4"/>
        <v/>
      </c>
      <c r="O4" s="82">
        <f t="shared" si="5"/>
        <v>5</v>
      </c>
      <c r="P4" s="73">
        <f t="shared" si="6"/>
        <v>10</v>
      </c>
      <c r="Q4" s="83"/>
      <c r="R4" s="346" t="s">
        <v>47</v>
      </c>
      <c r="S4" s="343"/>
      <c r="T4" s="343"/>
      <c r="U4" s="343"/>
      <c r="V4" s="97"/>
      <c r="W4" s="96"/>
      <c r="X4" s="85"/>
      <c r="Y4" s="86"/>
      <c r="Z4" s="86"/>
    </row>
    <row r="5" spans="2:26" ht="20.100000000000001" customHeight="1">
      <c r="B5" s="88" t="str">
        <f t="shared" si="7"/>
        <v/>
      </c>
      <c r="C5" s="88"/>
      <c r="D5" s="468" t="str">
        <f t="shared" si="0"/>
        <v/>
      </c>
      <c r="E5" s="342" t="str">
        <f t="shared" si="1"/>
        <v/>
      </c>
      <c r="F5" s="627"/>
      <c r="G5" s="169"/>
      <c r="H5" s="459"/>
      <c r="I5" s="634"/>
      <c r="J5" s="170"/>
      <c r="K5" s="459" t="str">
        <f t="shared" si="3"/>
        <v/>
      </c>
      <c r="L5" s="638"/>
      <c r="M5" s="101"/>
      <c r="N5" s="462" t="str">
        <f t="shared" si="4"/>
        <v/>
      </c>
      <c r="O5" s="82" t="str">
        <f t="shared" si="5"/>
        <v/>
      </c>
      <c r="P5" s="73" t="str">
        <f t="shared" si="6"/>
        <v/>
      </c>
      <c r="Q5" s="83"/>
      <c r="R5" s="104"/>
      <c r="S5" s="343"/>
      <c r="T5" s="343"/>
      <c r="U5" s="343"/>
      <c r="V5" s="97"/>
      <c r="W5" s="96"/>
      <c r="X5" s="85"/>
      <c r="Y5" s="86"/>
      <c r="Z5" s="86"/>
    </row>
    <row r="6" spans="2:26" ht="20.100000000000001" customHeight="1">
      <c r="B6" s="88" t="str">
        <f t="shared" si="7"/>
        <v/>
      </c>
      <c r="C6" s="88"/>
      <c r="D6" s="468" t="str">
        <f t="shared" si="0"/>
        <v/>
      </c>
      <c r="E6" s="342" t="str">
        <f t="shared" si="1"/>
        <v/>
      </c>
      <c r="F6" s="627"/>
      <c r="G6" s="169"/>
      <c r="H6" s="459"/>
      <c r="I6" s="634"/>
      <c r="J6" s="170"/>
      <c r="K6" s="459" t="str">
        <f t="shared" si="3"/>
        <v/>
      </c>
      <c r="L6" s="638"/>
      <c r="M6" s="101"/>
      <c r="N6" s="462" t="str">
        <f t="shared" si="4"/>
        <v/>
      </c>
      <c r="O6" s="82" t="str">
        <f t="shared" si="5"/>
        <v/>
      </c>
      <c r="P6" s="73" t="str">
        <f t="shared" si="6"/>
        <v/>
      </c>
      <c r="Q6" s="83"/>
      <c r="R6" s="87"/>
      <c r="S6" s="343"/>
      <c r="T6" s="343"/>
      <c r="U6" s="343"/>
      <c r="V6" s="97"/>
      <c r="W6" s="96"/>
      <c r="X6" s="85"/>
      <c r="Y6" s="86"/>
      <c r="Z6" s="86"/>
    </row>
    <row r="7" spans="2:26" ht="20.100000000000001" customHeight="1">
      <c r="B7" s="88" t="str">
        <f t="shared" si="7"/>
        <v/>
      </c>
      <c r="C7" s="88"/>
      <c r="D7" s="468" t="str">
        <f t="shared" si="0"/>
        <v/>
      </c>
      <c r="E7" s="342" t="str">
        <f t="shared" si="1"/>
        <v/>
      </c>
      <c r="F7" s="627"/>
      <c r="G7" s="169"/>
      <c r="H7" s="459" t="str">
        <f t="shared" si="2"/>
        <v/>
      </c>
      <c r="I7" s="634"/>
      <c r="J7" s="170"/>
      <c r="K7" s="459" t="str">
        <f t="shared" si="3"/>
        <v/>
      </c>
      <c r="L7" s="638"/>
      <c r="M7" s="101"/>
      <c r="N7" s="462" t="str">
        <f t="shared" si="4"/>
        <v/>
      </c>
      <c r="O7" s="82" t="str">
        <f t="shared" si="5"/>
        <v/>
      </c>
      <c r="P7" s="73" t="str">
        <f t="shared" si="6"/>
        <v/>
      </c>
      <c r="Q7" s="83"/>
      <c r="R7" s="87"/>
      <c r="S7" s="343"/>
      <c r="T7" s="343"/>
      <c r="U7" s="343"/>
      <c r="V7" s="97"/>
      <c r="W7" s="96"/>
      <c r="X7" s="85"/>
      <c r="Y7" s="86"/>
      <c r="Z7" s="86"/>
    </row>
    <row r="8" spans="2:26" ht="20.100000000000001" customHeight="1">
      <c r="B8" s="88" t="str">
        <f t="shared" si="7"/>
        <v/>
      </c>
      <c r="C8" s="88"/>
      <c r="D8" s="468" t="str">
        <f t="shared" si="0"/>
        <v/>
      </c>
      <c r="E8" s="342" t="str">
        <f t="shared" si="1"/>
        <v/>
      </c>
      <c r="F8" s="627"/>
      <c r="G8" s="169"/>
      <c r="H8" s="459" t="str">
        <f t="shared" si="2"/>
        <v/>
      </c>
      <c r="I8" s="635"/>
      <c r="J8" s="169"/>
      <c r="K8" s="459" t="str">
        <f t="shared" si="3"/>
        <v/>
      </c>
      <c r="L8" s="640"/>
      <c r="M8" s="100"/>
      <c r="N8" s="462" t="str">
        <f t="shared" si="4"/>
        <v/>
      </c>
      <c r="O8" s="82" t="str">
        <f t="shared" si="5"/>
        <v/>
      </c>
      <c r="P8" s="73" t="str">
        <f t="shared" si="6"/>
        <v/>
      </c>
      <c r="Q8" s="83"/>
      <c r="R8" s="87"/>
      <c r="S8" s="343"/>
      <c r="T8" s="343"/>
      <c r="U8" s="343"/>
      <c r="V8" s="97"/>
      <c r="W8" s="96"/>
      <c r="X8" s="85"/>
      <c r="Y8" s="86"/>
      <c r="Z8" s="86"/>
    </row>
    <row r="9" spans="2:26" ht="20.100000000000001" customHeight="1">
      <c r="B9" s="88" t="str">
        <f t="shared" si="7"/>
        <v/>
      </c>
      <c r="C9" s="88"/>
      <c r="D9" s="468" t="str">
        <f t="shared" si="0"/>
        <v/>
      </c>
      <c r="E9" s="342" t="str">
        <f t="shared" si="1"/>
        <v/>
      </c>
      <c r="F9" s="627"/>
      <c r="G9" s="169"/>
      <c r="H9" s="459" t="str">
        <f t="shared" si="2"/>
        <v/>
      </c>
      <c r="I9" s="636"/>
      <c r="J9" s="173"/>
      <c r="K9" s="459" t="str">
        <f t="shared" si="3"/>
        <v/>
      </c>
      <c r="L9" s="638"/>
      <c r="M9" s="101"/>
      <c r="N9" s="462" t="str">
        <f t="shared" si="4"/>
        <v/>
      </c>
      <c r="O9" s="82" t="str">
        <f t="shared" si="5"/>
        <v/>
      </c>
      <c r="P9" s="73" t="str">
        <f t="shared" si="6"/>
        <v/>
      </c>
      <c r="Q9" s="83"/>
      <c r="S9" s="343"/>
      <c r="T9" s="343"/>
      <c r="U9" s="343"/>
      <c r="V9" s="97"/>
      <c r="W9" s="96"/>
      <c r="X9" s="85"/>
      <c r="Y9" s="86"/>
      <c r="Z9" s="86"/>
    </row>
    <row r="10" spans="2:26" ht="20.100000000000001" customHeight="1">
      <c r="B10" s="88" t="str">
        <f t="shared" si="7"/>
        <v/>
      </c>
      <c r="C10" s="88"/>
      <c r="D10" s="468" t="str">
        <f t="shared" si="0"/>
        <v/>
      </c>
      <c r="E10" s="342" t="str">
        <f t="shared" si="1"/>
        <v/>
      </c>
      <c r="F10" s="627"/>
      <c r="G10" s="169"/>
      <c r="H10" s="459" t="str">
        <f t="shared" si="2"/>
        <v/>
      </c>
      <c r="I10" s="637"/>
      <c r="J10" s="171"/>
      <c r="K10" s="459" t="str">
        <f t="shared" si="3"/>
        <v/>
      </c>
      <c r="L10" s="638"/>
      <c r="M10" s="101"/>
      <c r="N10" s="462" t="str">
        <f t="shared" si="4"/>
        <v/>
      </c>
      <c r="O10" s="82" t="str">
        <f t="shared" si="5"/>
        <v/>
      </c>
      <c r="P10" s="73" t="str">
        <f t="shared" si="6"/>
        <v/>
      </c>
      <c r="Q10" s="83"/>
      <c r="R10" s="345"/>
      <c r="S10" s="343"/>
      <c r="T10" s="343"/>
      <c r="U10" s="343"/>
      <c r="V10" s="97"/>
      <c r="W10" s="96"/>
      <c r="X10" s="85"/>
      <c r="Y10" s="86"/>
      <c r="Z10" s="86"/>
    </row>
    <row r="11" spans="2:26" ht="20.100000000000001" customHeight="1">
      <c r="B11" s="88" t="str">
        <f t="shared" si="7"/>
        <v/>
      </c>
      <c r="C11" s="88"/>
      <c r="D11" s="468" t="str">
        <f t="shared" si="0"/>
        <v/>
      </c>
      <c r="E11" s="342" t="str">
        <f t="shared" si="1"/>
        <v/>
      </c>
      <c r="F11" s="627"/>
      <c r="G11" s="169"/>
      <c r="H11" s="459" t="str">
        <f t="shared" si="2"/>
        <v/>
      </c>
      <c r="I11" s="637"/>
      <c r="J11" s="171"/>
      <c r="K11" s="459" t="str">
        <f t="shared" si="3"/>
        <v/>
      </c>
      <c r="L11" s="638"/>
      <c r="M11" s="101"/>
      <c r="N11" s="462" t="str">
        <f t="shared" si="4"/>
        <v/>
      </c>
      <c r="O11" s="82" t="str">
        <f t="shared" si="5"/>
        <v/>
      </c>
      <c r="P11" s="73" t="str">
        <f t="shared" si="6"/>
        <v/>
      </c>
      <c r="Q11" s="83"/>
      <c r="R11" s="345"/>
      <c r="S11" s="343"/>
      <c r="T11" s="343"/>
      <c r="U11" s="343"/>
      <c r="V11" s="97"/>
      <c r="W11" s="96"/>
      <c r="X11" s="85"/>
      <c r="Y11" s="86"/>
      <c r="Z11" s="86"/>
    </row>
    <row r="12" spans="2:26" ht="20.100000000000001" customHeight="1">
      <c r="B12" s="88" t="str">
        <f t="shared" si="7"/>
        <v/>
      </c>
      <c r="C12" s="88"/>
      <c r="D12" s="468" t="str">
        <f t="shared" si="0"/>
        <v/>
      </c>
      <c r="E12" s="342" t="str">
        <f t="shared" si="1"/>
        <v/>
      </c>
      <c r="F12" s="627"/>
      <c r="G12" s="169"/>
      <c r="H12" s="459" t="str">
        <f t="shared" si="2"/>
        <v/>
      </c>
      <c r="I12" s="637"/>
      <c r="J12" s="171"/>
      <c r="K12" s="459" t="str">
        <f t="shared" si="3"/>
        <v/>
      </c>
      <c r="L12" s="638"/>
      <c r="M12" s="101"/>
      <c r="N12" s="462" t="str">
        <f t="shared" si="4"/>
        <v/>
      </c>
      <c r="O12" s="82" t="str">
        <f t="shared" si="5"/>
        <v/>
      </c>
      <c r="P12" s="73" t="str">
        <f t="shared" si="6"/>
        <v/>
      </c>
      <c r="Q12" s="83"/>
      <c r="S12" s="343"/>
      <c r="T12" s="343"/>
      <c r="U12" s="343"/>
      <c r="V12" s="97"/>
      <c r="W12" s="96"/>
      <c r="X12" s="85"/>
      <c r="Y12" s="86"/>
      <c r="Z12" s="86"/>
    </row>
    <row r="13" spans="2:26" ht="20.100000000000001" customHeight="1">
      <c r="B13" s="88" t="str">
        <f t="shared" si="7"/>
        <v/>
      </c>
      <c r="C13" s="88"/>
      <c r="D13" s="468" t="str">
        <f t="shared" si="0"/>
        <v/>
      </c>
      <c r="E13" s="342" t="str">
        <f t="shared" si="1"/>
        <v/>
      </c>
      <c r="F13" s="627"/>
      <c r="G13" s="169"/>
      <c r="H13" s="459" t="str">
        <f t="shared" si="2"/>
        <v/>
      </c>
      <c r="I13" s="637"/>
      <c r="J13" s="171"/>
      <c r="K13" s="459" t="str">
        <f t="shared" si="3"/>
        <v/>
      </c>
      <c r="L13" s="638"/>
      <c r="M13" s="101"/>
      <c r="N13" s="462" t="str">
        <f t="shared" si="4"/>
        <v/>
      </c>
      <c r="O13" s="82" t="str">
        <f t="shared" si="5"/>
        <v/>
      </c>
      <c r="P13" s="73" t="str">
        <f t="shared" si="6"/>
        <v/>
      </c>
      <c r="Q13" s="83"/>
      <c r="R13" s="347"/>
      <c r="S13" s="343"/>
      <c r="T13" s="343"/>
      <c r="U13" s="343"/>
      <c r="V13" s="49"/>
      <c r="W13" s="95"/>
      <c r="X13" s="85"/>
      <c r="Y13" s="86"/>
      <c r="Z13" s="86"/>
    </row>
    <row r="14" spans="2:26" ht="20.100000000000001" customHeight="1">
      <c r="B14" s="88" t="str">
        <f t="shared" si="7"/>
        <v/>
      </c>
      <c r="C14" s="88"/>
      <c r="D14" s="468" t="str">
        <f t="shared" si="0"/>
        <v/>
      </c>
      <c r="E14" s="342" t="str">
        <f t="shared" si="1"/>
        <v/>
      </c>
      <c r="F14" s="627"/>
      <c r="G14" s="169"/>
      <c r="H14" s="459" t="str">
        <f t="shared" si="2"/>
        <v/>
      </c>
      <c r="I14" s="637"/>
      <c r="J14" s="171"/>
      <c r="K14" s="459" t="str">
        <f t="shared" si="3"/>
        <v/>
      </c>
      <c r="L14" s="638"/>
      <c r="M14" s="101"/>
      <c r="N14" s="462" t="str">
        <f t="shared" si="4"/>
        <v/>
      </c>
      <c r="O14" s="82" t="str">
        <f t="shared" si="5"/>
        <v/>
      </c>
      <c r="P14" s="73" t="str">
        <f t="shared" si="6"/>
        <v/>
      </c>
      <c r="Q14" s="83"/>
      <c r="R14" s="347"/>
      <c r="S14" s="343"/>
      <c r="T14" s="343"/>
      <c r="U14" s="343"/>
      <c r="V14" s="49"/>
      <c r="W14" s="95"/>
      <c r="X14" s="85"/>
      <c r="Y14" s="86"/>
      <c r="Z14" s="86"/>
    </row>
    <row r="15" spans="2:26" ht="20.100000000000001" customHeight="1">
      <c r="B15" s="88" t="str">
        <f t="shared" si="7"/>
        <v/>
      </c>
      <c r="C15" s="88"/>
      <c r="D15" s="468" t="str">
        <f t="shared" si="0"/>
        <v/>
      </c>
      <c r="E15" s="342" t="str">
        <f t="shared" si="1"/>
        <v/>
      </c>
      <c r="F15" s="627"/>
      <c r="G15" s="169"/>
      <c r="H15" s="459" t="str">
        <f t="shared" si="2"/>
        <v/>
      </c>
      <c r="I15" s="637"/>
      <c r="J15" s="171"/>
      <c r="K15" s="459" t="str">
        <f t="shared" si="3"/>
        <v/>
      </c>
      <c r="L15" s="638"/>
      <c r="M15" s="101"/>
      <c r="N15" s="462" t="str">
        <f t="shared" si="4"/>
        <v/>
      </c>
      <c r="O15" s="82" t="str">
        <f t="shared" si="5"/>
        <v/>
      </c>
      <c r="P15" s="73" t="str">
        <f t="shared" si="6"/>
        <v/>
      </c>
      <c r="Q15" s="83"/>
      <c r="R15" s="347"/>
      <c r="S15" s="343"/>
      <c r="T15" s="343"/>
      <c r="U15" s="343"/>
      <c r="V15" s="49"/>
      <c r="W15" s="95"/>
      <c r="X15" s="85"/>
      <c r="Y15" s="86"/>
      <c r="Z15" s="86"/>
    </row>
    <row r="16" spans="2:26" ht="20.100000000000001" customHeight="1">
      <c r="B16" s="88" t="str">
        <f t="shared" si="7"/>
        <v/>
      </c>
      <c r="C16" s="88"/>
      <c r="D16" s="468" t="str">
        <f t="shared" si="0"/>
        <v/>
      </c>
      <c r="E16" s="342" t="str">
        <f t="shared" si="1"/>
        <v/>
      </c>
      <c r="F16" s="627"/>
      <c r="G16" s="169"/>
      <c r="H16" s="459" t="str">
        <f t="shared" si="2"/>
        <v/>
      </c>
      <c r="I16" s="637"/>
      <c r="J16" s="171"/>
      <c r="K16" s="459" t="str">
        <f t="shared" si="3"/>
        <v/>
      </c>
      <c r="L16" s="638"/>
      <c r="M16" s="101"/>
      <c r="N16" s="462" t="str">
        <f t="shared" si="4"/>
        <v/>
      </c>
      <c r="O16" s="82" t="str">
        <f t="shared" si="5"/>
        <v/>
      </c>
      <c r="P16" s="73" t="str">
        <f t="shared" si="6"/>
        <v/>
      </c>
      <c r="Q16" s="83"/>
      <c r="S16" s="343"/>
      <c r="T16" s="343"/>
      <c r="U16" s="343"/>
      <c r="V16" s="49"/>
      <c r="W16" s="95"/>
      <c r="X16" s="85"/>
      <c r="Y16" s="86"/>
      <c r="Z16" s="86"/>
    </row>
    <row r="17" spans="2:26" ht="20.100000000000001" customHeight="1">
      <c r="B17" s="88" t="str">
        <f t="shared" si="7"/>
        <v/>
      </c>
      <c r="C17" s="88"/>
      <c r="D17" s="468" t="str">
        <f t="shared" si="0"/>
        <v/>
      </c>
      <c r="E17" s="342" t="str">
        <f t="shared" si="1"/>
        <v/>
      </c>
      <c r="F17" s="627"/>
      <c r="G17" s="169"/>
      <c r="H17" s="459" t="str">
        <f t="shared" si="2"/>
        <v/>
      </c>
      <c r="I17" s="637"/>
      <c r="J17" s="171"/>
      <c r="K17" s="459" t="str">
        <f t="shared" si="3"/>
        <v/>
      </c>
      <c r="L17" s="638"/>
      <c r="M17" s="101"/>
      <c r="N17" s="462" t="str">
        <f t="shared" si="4"/>
        <v/>
      </c>
      <c r="O17" s="82" t="str">
        <f t="shared" si="5"/>
        <v/>
      </c>
      <c r="P17" s="73" t="str">
        <f t="shared" si="6"/>
        <v/>
      </c>
      <c r="Q17" s="83"/>
      <c r="R17" s="345"/>
      <c r="S17" s="343"/>
      <c r="T17" s="343"/>
      <c r="U17" s="343"/>
      <c r="V17" s="49"/>
      <c r="W17" s="95"/>
      <c r="X17" s="85"/>
      <c r="Y17" s="86"/>
      <c r="Z17" s="86"/>
    </row>
    <row r="18" spans="2:26" ht="20.100000000000001" customHeight="1">
      <c r="B18" s="88" t="str">
        <f t="shared" si="7"/>
        <v/>
      </c>
      <c r="C18" s="88"/>
      <c r="D18" s="468" t="str">
        <f t="shared" si="0"/>
        <v/>
      </c>
      <c r="E18" s="342" t="str">
        <f t="shared" si="1"/>
        <v/>
      </c>
      <c r="F18" s="627"/>
      <c r="G18" s="169"/>
      <c r="H18" s="459" t="str">
        <f t="shared" si="2"/>
        <v/>
      </c>
      <c r="I18" s="637"/>
      <c r="J18" s="171"/>
      <c r="K18" s="459" t="str">
        <f t="shared" si="3"/>
        <v/>
      </c>
      <c r="L18" s="638"/>
      <c r="M18" s="101"/>
      <c r="N18" s="462" t="str">
        <f t="shared" si="4"/>
        <v/>
      </c>
      <c r="O18" s="82" t="str">
        <f t="shared" si="5"/>
        <v/>
      </c>
      <c r="P18" s="73" t="str">
        <f t="shared" si="6"/>
        <v/>
      </c>
      <c r="Q18" s="83"/>
      <c r="R18" s="345"/>
      <c r="S18" s="343"/>
      <c r="T18" s="343"/>
      <c r="U18" s="343"/>
      <c r="V18" s="49"/>
      <c r="W18" s="95"/>
      <c r="X18" s="85"/>
      <c r="Y18" s="86"/>
      <c r="Z18" s="86"/>
    </row>
    <row r="19" spans="2:26" ht="20.100000000000001" customHeight="1">
      <c r="B19" s="88" t="str">
        <f t="shared" si="7"/>
        <v/>
      </c>
      <c r="C19" s="88"/>
      <c r="D19" s="468" t="str">
        <f t="shared" si="0"/>
        <v/>
      </c>
      <c r="E19" s="342" t="str">
        <f t="shared" si="1"/>
        <v/>
      </c>
      <c r="F19" s="627"/>
      <c r="G19" s="169"/>
      <c r="H19" s="459" t="str">
        <f t="shared" si="2"/>
        <v/>
      </c>
      <c r="I19" s="637"/>
      <c r="J19" s="171"/>
      <c r="K19" s="459" t="str">
        <f t="shared" si="3"/>
        <v/>
      </c>
      <c r="L19" s="638"/>
      <c r="M19" s="101"/>
      <c r="N19" s="462" t="str">
        <f t="shared" si="4"/>
        <v/>
      </c>
      <c r="O19" s="82" t="str">
        <f t="shared" si="5"/>
        <v/>
      </c>
      <c r="P19" s="73" t="str">
        <f t="shared" si="6"/>
        <v/>
      </c>
      <c r="Q19" s="83"/>
      <c r="R19" s="345"/>
      <c r="S19" s="343"/>
      <c r="T19" s="343"/>
      <c r="U19" s="343"/>
      <c r="V19" s="49"/>
      <c r="W19" s="95"/>
      <c r="X19" s="85"/>
      <c r="Y19" s="86"/>
      <c r="Z19" s="86"/>
    </row>
    <row r="20" spans="2:26" ht="20.100000000000001" customHeight="1">
      <c r="B20" s="88" t="str">
        <f t="shared" si="7"/>
        <v/>
      </c>
      <c r="C20" s="88"/>
      <c r="D20" s="468" t="str">
        <f t="shared" si="0"/>
        <v/>
      </c>
      <c r="E20" s="342" t="str">
        <f t="shared" si="1"/>
        <v/>
      </c>
      <c r="F20" s="627"/>
      <c r="G20" s="169"/>
      <c r="H20" s="459" t="str">
        <f t="shared" si="2"/>
        <v/>
      </c>
      <c r="I20" s="637"/>
      <c r="J20" s="171"/>
      <c r="K20" s="459" t="str">
        <f t="shared" si="3"/>
        <v/>
      </c>
      <c r="L20" s="638"/>
      <c r="M20" s="101"/>
      <c r="N20" s="462" t="str">
        <f t="shared" si="4"/>
        <v/>
      </c>
      <c r="O20" s="82" t="str">
        <f t="shared" si="5"/>
        <v/>
      </c>
      <c r="P20" s="73" t="str">
        <f t="shared" si="6"/>
        <v/>
      </c>
      <c r="Q20" s="83"/>
      <c r="S20" s="343"/>
      <c r="T20" s="343"/>
      <c r="U20" s="343"/>
      <c r="V20" s="49"/>
      <c r="W20" s="95"/>
      <c r="X20" s="85"/>
      <c r="Y20" s="86"/>
      <c r="Z20" s="86"/>
    </row>
    <row r="21" spans="2:26" ht="20.100000000000001" customHeight="1">
      <c r="B21" s="88" t="str">
        <f t="shared" si="7"/>
        <v/>
      </c>
      <c r="C21" s="88"/>
      <c r="D21" s="468" t="str">
        <f t="shared" si="0"/>
        <v/>
      </c>
      <c r="E21" s="342" t="str">
        <f t="shared" si="1"/>
        <v/>
      </c>
      <c r="F21" s="627"/>
      <c r="G21" s="169"/>
      <c r="H21" s="459" t="str">
        <f t="shared" si="2"/>
        <v/>
      </c>
      <c r="I21" s="638"/>
      <c r="J21" s="72"/>
      <c r="K21" s="459" t="str">
        <f t="shared" si="3"/>
        <v/>
      </c>
      <c r="L21" s="638"/>
      <c r="M21" s="101"/>
      <c r="N21" s="462" t="str">
        <f t="shared" si="4"/>
        <v/>
      </c>
      <c r="O21" s="82" t="str">
        <f t="shared" si="5"/>
        <v/>
      </c>
      <c r="P21" s="73" t="str">
        <f t="shared" si="6"/>
        <v/>
      </c>
      <c r="Q21" s="83"/>
      <c r="R21" s="347"/>
      <c r="S21" s="343"/>
      <c r="T21" s="343"/>
      <c r="U21" s="343"/>
      <c r="V21" s="49"/>
      <c r="W21" s="95"/>
      <c r="X21" s="85"/>
      <c r="Y21" s="86"/>
      <c r="Z21" s="86"/>
    </row>
    <row r="22" spans="2:26" ht="20.100000000000001" customHeight="1">
      <c r="B22" s="88" t="str">
        <f t="shared" si="7"/>
        <v/>
      </c>
      <c r="C22" s="88"/>
      <c r="D22" s="468" t="str">
        <f t="shared" si="0"/>
        <v/>
      </c>
      <c r="E22" s="342" t="str">
        <f t="shared" si="1"/>
        <v/>
      </c>
      <c r="F22" s="627"/>
      <c r="G22" s="169"/>
      <c r="H22" s="459" t="str">
        <f t="shared" si="2"/>
        <v/>
      </c>
      <c r="I22" s="638"/>
      <c r="J22" s="72"/>
      <c r="K22" s="459" t="str">
        <f t="shared" si="3"/>
        <v/>
      </c>
      <c r="L22" s="638"/>
      <c r="M22" s="101"/>
      <c r="N22" s="462" t="str">
        <f t="shared" si="4"/>
        <v/>
      </c>
      <c r="O22" s="82" t="str">
        <f t="shared" si="5"/>
        <v/>
      </c>
      <c r="P22" s="73" t="str">
        <f t="shared" si="6"/>
        <v/>
      </c>
      <c r="Q22" s="83"/>
      <c r="S22" s="343"/>
      <c r="T22" s="343"/>
      <c r="U22" s="343"/>
      <c r="V22" s="49"/>
      <c r="W22" s="95"/>
      <c r="X22" s="85"/>
      <c r="Y22" s="86"/>
      <c r="Z22" s="86"/>
    </row>
    <row r="23" spans="2:26" ht="20.100000000000001" customHeight="1">
      <c r="B23" s="88" t="str">
        <f t="shared" si="7"/>
        <v/>
      </c>
      <c r="C23" s="88"/>
      <c r="D23" s="468" t="str">
        <f t="shared" si="0"/>
        <v/>
      </c>
      <c r="E23" s="342" t="str">
        <f t="shared" si="1"/>
        <v/>
      </c>
      <c r="F23" s="627"/>
      <c r="G23" s="169"/>
      <c r="H23" s="459" t="str">
        <f t="shared" si="2"/>
        <v/>
      </c>
      <c r="I23" s="639"/>
      <c r="J23" s="98"/>
      <c r="K23" s="459" t="str">
        <f t="shared" si="3"/>
        <v/>
      </c>
      <c r="L23" s="638"/>
      <c r="M23" s="101"/>
      <c r="N23" s="462" t="str">
        <f t="shared" si="4"/>
        <v/>
      </c>
      <c r="O23" s="82" t="str">
        <f t="shared" si="5"/>
        <v/>
      </c>
      <c r="P23" s="73" t="str">
        <f t="shared" si="6"/>
        <v/>
      </c>
      <c r="Q23" s="83"/>
      <c r="R23" s="344"/>
      <c r="S23" s="343"/>
      <c r="T23" s="343"/>
      <c r="U23" s="343"/>
      <c r="V23" s="49"/>
      <c r="W23" s="95"/>
      <c r="X23" s="85"/>
      <c r="Y23" s="86"/>
      <c r="Z23" s="86"/>
    </row>
    <row r="24" spans="2:26" ht="20.100000000000001" customHeight="1">
      <c r="B24" s="88" t="str">
        <f t="shared" si="7"/>
        <v/>
      </c>
      <c r="C24" s="88"/>
      <c r="D24" s="468" t="str">
        <f t="shared" si="0"/>
        <v/>
      </c>
      <c r="E24" s="342" t="str">
        <f t="shared" si="1"/>
        <v/>
      </c>
      <c r="F24" s="627"/>
      <c r="G24" s="169"/>
      <c r="H24" s="459" t="str">
        <f t="shared" si="2"/>
        <v/>
      </c>
      <c r="I24" s="638"/>
      <c r="J24" s="72"/>
      <c r="K24" s="459" t="str">
        <f t="shared" si="3"/>
        <v/>
      </c>
      <c r="L24" s="638"/>
      <c r="M24" s="101"/>
      <c r="N24" s="462" t="str">
        <f t="shared" si="4"/>
        <v/>
      </c>
      <c r="O24" s="82" t="str">
        <f t="shared" si="5"/>
        <v/>
      </c>
      <c r="P24" s="73" t="str">
        <f t="shared" si="6"/>
        <v/>
      </c>
      <c r="Q24" s="83"/>
      <c r="R24" s="344"/>
      <c r="S24" s="343"/>
      <c r="T24" s="343"/>
      <c r="U24" s="343"/>
      <c r="V24" s="49"/>
      <c r="W24" s="95"/>
      <c r="X24" s="85"/>
      <c r="Y24" s="86"/>
      <c r="Z24" s="86"/>
    </row>
    <row r="25" spans="2:26" ht="20.100000000000001" customHeight="1">
      <c r="B25" s="88" t="str">
        <f t="shared" si="7"/>
        <v/>
      </c>
      <c r="C25" s="88"/>
      <c r="D25" s="468" t="str">
        <f t="shared" si="0"/>
        <v/>
      </c>
      <c r="E25" s="342" t="str">
        <f t="shared" si="1"/>
        <v/>
      </c>
      <c r="F25" s="627"/>
      <c r="G25" s="169"/>
      <c r="H25" s="459" t="str">
        <f t="shared" si="2"/>
        <v/>
      </c>
      <c r="I25" s="638"/>
      <c r="J25" s="72"/>
      <c r="K25" s="459" t="str">
        <f t="shared" si="3"/>
        <v/>
      </c>
      <c r="L25" s="638"/>
      <c r="M25" s="101"/>
      <c r="N25" s="462" t="str">
        <f t="shared" si="4"/>
        <v/>
      </c>
      <c r="O25" s="82" t="str">
        <f t="shared" si="5"/>
        <v/>
      </c>
      <c r="P25" s="73" t="str">
        <f t="shared" si="6"/>
        <v/>
      </c>
      <c r="Q25" s="83"/>
      <c r="S25" s="343"/>
      <c r="T25" s="343"/>
      <c r="U25" s="343"/>
      <c r="V25" s="49"/>
      <c r="W25" s="95"/>
      <c r="X25" s="85"/>
      <c r="Y25" s="86"/>
      <c r="Z25" s="86"/>
    </row>
    <row r="26" spans="2:26" ht="20.100000000000001" customHeight="1">
      <c r="B26" s="88" t="str">
        <f t="shared" si="7"/>
        <v/>
      </c>
      <c r="C26" s="88"/>
      <c r="D26" s="468" t="str">
        <f t="shared" si="0"/>
        <v/>
      </c>
      <c r="E26" s="342" t="str">
        <f t="shared" si="1"/>
        <v/>
      </c>
      <c r="F26" s="627"/>
      <c r="G26" s="169"/>
      <c r="H26" s="459" t="str">
        <f t="shared" si="2"/>
        <v/>
      </c>
      <c r="I26" s="640"/>
      <c r="J26" s="35"/>
      <c r="K26" s="459" t="str">
        <f t="shared" si="3"/>
        <v/>
      </c>
      <c r="L26" s="640"/>
      <c r="M26" s="100"/>
      <c r="N26" s="462" t="str">
        <f t="shared" si="4"/>
        <v/>
      </c>
      <c r="O26" s="82" t="str">
        <f t="shared" si="5"/>
        <v/>
      </c>
      <c r="P26" s="73" t="str">
        <f t="shared" si="6"/>
        <v/>
      </c>
      <c r="Q26" s="83"/>
      <c r="S26" s="343"/>
      <c r="T26" s="343"/>
      <c r="U26" s="343"/>
      <c r="V26" s="49"/>
      <c r="W26" s="95"/>
      <c r="X26" s="85"/>
      <c r="Y26" s="86"/>
      <c r="Z26" s="86"/>
    </row>
    <row r="27" spans="2:26" ht="20.100000000000001" customHeight="1">
      <c r="B27" s="88" t="str">
        <f t="shared" si="7"/>
        <v/>
      </c>
      <c r="C27" s="88"/>
      <c r="D27" s="468" t="str">
        <f t="shared" si="0"/>
        <v/>
      </c>
      <c r="E27" s="342" t="str">
        <f t="shared" si="1"/>
        <v/>
      </c>
      <c r="F27" s="627"/>
      <c r="G27" s="169"/>
      <c r="H27" s="459" t="str">
        <f t="shared" si="2"/>
        <v/>
      </c>
      <c r="I27" s="638"/>
      <c r="J27" s="72"/>
      <c r="K27" s="459" t="str">
        <f t="shared" si="3"/>
        <v/>
      </c>
      <c r="L27" s="638"/>
      <c r="M27" s="101"/>
      <c r="N27" s="462" t="str">
        <f t="shared" si="4"/>
        <v/>
      </c>
      <c r="O27" s="82" t="str">
        <f t="shared" si="5"/>
        <v/>
      </c>
      <c r="P27" s="73" t="str">
        <f t="shared" si="6"/>
        <v/>
      </c>
      <c r="Q27" s="83"/>
      <c r="S27" s="343"/>
      <c r="T27" s="343"/>
      <c r="U27" s="343"/>
      <c r="V27" s="49"/>
      <c r="W27" s="95"/>
      <c r="X27" s="85"/>
      <c r="Y27" s="86"/>
      <c r="Z27" s="86"/>
    </row>
    <row r="28" spans="2:26" ht="20.100000000000001" customHeight="1">
      <c r="B28" s="88" t="str">
        <f t="shared" si="7"/>
        <v/>
      </c>
      <c r="C28" s="88"/>
      <c r="D28" s="468" t="str">
        <f t="shared" si="0"/>
        <v/>
      </c>
      <c r="E28" s="342" t="str">
        <f t="shared" si="1"/>
        <v/>
      </c>
      <c r="F28" s="628"/>
      <c r="G28" s="169"/>
      <c r="H28" s="459" t="str">
        <f t="shared" si="2"/>
        <v/>
      </c>
      <c r="I28" s="638"/>
      <c r="J28" s="72"/>
      <c r="K28" s="459" t="str">
        <f t="shared" si="3"/>
        <v/>
      </c>
      <c r="L28" s="638"/>
      <c r="M28" s="101"/>
      <c r="N28" s="462" t="str">
        <f t="shared" si="4"/>
        <v/>
      </c>
      <c r="O28" s="82" t="str">
        <f t="shared" si="5"/>
        <v/>
      </c>
      <c r="P28" s="73" t="str">
        <f t="shared" si="6"/>
        <v/>
      </c>
      <c r="Q28" s="83"/>
      <c r="S28" s="343"/>
      <c r="T28" s="343"/>
      <c r="U28" s="343"/>
      <c r="V28" s="49"/>
      <c r="W28" s="95"/>
      <c r="X28" s="85"/>
      <c r="Y28" s="86"/>
      <c r="Z28" s="86"/>
    </row>
    <row r="29" spans="2:26" ht="20.100000000000001" customHeight="1">
      <c r="B29" s="88" t="str">
        <f t="shared" si="7"/>
        <v/>
      </c>
      <c r="C29" s="88"/>
      <c r="D29" s="468" t="str">
        <f t="shared" si="0"/>
        <v/>
      </c>
      <c r="E29" s="342" t="str">
        <f t="shared" si="1"/>
        <v/>
      </c>
      <c r="F29" s="628"/>
      <c r="G29" s="170"/>
      <c r="H29" s="459" t="str">
        <f t="shared" si="2"/>
        <v/>
      </c>
      <c r="I29" s="638"/>
      <c r="J29" s="72"/>
      <c r="K29" s="459" t="str">
        <f t="shared" si="3"/>
        <v/>
      </c>
      <c r="L29" s="643"/>
      <c r="M29" s="102"/>
      <c r="N29" s="462" t="str">
        <f t="shared" si="4"/>
        <v/>
      </c>
      <c r="O29" s="82" t="str">
        <f t="shared" si="5"/>
        <v/>
      </c>
      <c r="P29" s="73" t="str">
        <f t="shared" si="6"/>
        <v/>
      </c>
      <c r="Q29" s="83"/>
      <c r="S29" s="343"/>
      <c r="T29" s="343"/>
      <c r="U29" s="343"/>
      <c r="V29" s="49"/>
      <c r="W29" s="95"/>
      <c r="X29" s="85"/>
      <c r="Y29" s="86"/>
      <c r="Z29" s="86"/>
    </row>
    <row r="30" spans="2:26" ht="20.100000000000001" customHeight="1">
      <c r="B30" s="88" t="str">
        <f t="shared" si="7"/>
        <v/>
      </c>
      <c r="C30" s="88"/>
      <c r="D30" s="468" t="str">
        <f t="shared" si="0"/>
        <v/>
      </c>
      <c r="E30" s="342" t="str">
        <f t="shared" si="1"/>
        <v/>
      </c>
      <c r="F30" s="628"/>
      <c r="G30" s="170"/>
      <c r="H30" s="459" t="str">
        <f t="shared" si="2"/>
        <v/>
      </c>
      <c r="I30" s="638"/>
      <c r="J30" s="72"/>
      <c r="K30" s="459" t="str">
        <f t="shared" si="3"/>
        <v/>
      </c>
      <c r="L30" s="643"/>
      <c r="M30" s="102"/>
      <c r="N30" s="462" t="str">
        <f t="shared" si="4"/>
        <v/>
      </c>
      <c r="O30" s="82" t="str">
        <f t="shared" si="5"/>
        <v/>
      </c>
      <c r="P30" s="73" t="str">
        <f t="shared" si="6"/>
        <v/>
      </c>
      <c r="Q30" s="83"/>
      <c r="S30" s="343"/>
      <c r="T30" s="343"/>
      <c r="U30" s="343"/>
      <c r="V30" s="49"/>
      <c r="W30" s="95"/>
      <c r="X30" s="85"/>
      <c r="Y30" s="86"/>
      <c r="Z30" s="86"/>
    </row>
    <row r="31" spans="2:26" ht="20.100000000000001" customHeight="1">
      <c r="B31" s="88" t="str">
        <f t="shared" si="7"/>
        <v/>
      </c>
      <c r="C31" s="88"/>
      <c r="D31" s="468" t="str">
        <f t="shared" si="0"/>
        <v/>
      </c>
      <c r="E31" s="342" t="str">
        <f t="shared" si="1"/>
        <v/>
      </c>
      <c r="F31" s="628"/>
      <c r="G31" s="170"/>
      <c r="H31" s="459" t="str">
        <f t="shared" si="2"/>
        <v/>
      </c>
      <c r="I31" s="638"/>
      <c r="J31" s="72"/>
      <c r="K31" s="459" t="str">
        <f t="shared" si="3"/>
        <v/>
      </c>
      <c r="L31" s="643"/>
      <c r="M31" s="102"/>
      <c r="N31" s="462" t="str">
        <f t="shared" si="4"/>
        <v/>
      </c>
      <c r="O31" s="82" t="str">
        <f t="shared" si="5"/>
        <v/>
      </c>
      <c r="P31" s="73" t="str">
        <f t="shared" si="6"/>
        <v/>
      </c>
      <c r="Q31" s="83"/>
      <c r="S31" s="343"/>
      <c r="T31" s="343"/>
      <c r="U31" s="343"/>
      <c r="V31" s="49"/>
      <c r="W31" s="95"/>
      <c r="X31" s="85"/>
      <c r="Y31" s="86"/>
      <c r="Z31" s="86"/>
    </row>
    <row r="32" spans="2:26" ht="20.100000000000001" customHeight="1">
      <c r="B32" s="88" t="str">
        <f t="shared" si="7"/>
        <v/>
      </c>
      <c r="C32" s="88"/>
      <c r="D32" s="468" t="str">
        <f t="shared" si="0"/>
        <v/>
      </c>
      <c r="E32" s="342" t="str">
        <f t="shared" si="1"/>
        <v/>
      </c>
      <c r="F32" s="628"/>
      <c r="G32" s="170"/>
      <c r="H32" s="459" t="str">
        <f t="shared" si="2"/>
        <v/>
      </c>
      <c r="I32" s="638"/>
      <c r="J32" s="72"/>
      <c r="K32" s="459" t="str">
        <f t="shared" si="3"/>
        <v/>
      </c>
      <c r="L32" s="643"/>
      <c r="M32" s="102"/>
      <c r="N32" s="462" t="str">
        <f t="shared" si="4"/>
        <v/>
      </c>
      <c r="O32" s="82" t="str">
        <f t="shared" si="5"/>
        <v/>
      </c>
      <c r="P32" s="73" t="str">
        <f t="shared" si="6"/>
        <v/>
      </c>
      <c r="Q32" s="83"/>
      <c r="S32" s="343"/>
      <c r="T32" s="343"/>
      <c r="U32" s="343"/>
      <c r="V32" s="49"/>
      <c r="W32" s="95"/>
      <c r="X32" s="85"/>
      <c r="Y32" s="86"/>
      <c r="Z32" s="86"/>
    </row>
    <row r="33" spans="2:26" ht="20.100000000000001" customHeight="1">
      <c r="B33" s="88" t="str">
        <f t="shared" si="7"/>
        <v/>
      </c>
      <c r="C33" s="88"/>
      <c r="D33" s="468" t="str">
        <f t="shared" si="0"/>
        <v/>
      </c>
      <c r="E33" s="342" t="str">
        <f t="shared" si="1"/>
        <v/>
      </c>
      <c r="F33" s="628"/>
      <c r="G33" s="170"/>
      <c r="H33" s="459" t="str">
        <f t="shared" si="2"/>
        <v/>
      </c>
      <c r="I33" s="638"/>
      <c r="J33" s="72"/>
      <c r="K33" s="459" t="str">
        <f t="shared" si="3"/>
        <v/>
      </c>
      <c r="L33" s="643"/>
      <c r="M33" s="102"/>
      <c r="N33" s="462" t="str">
        <f t="shared" si="4"/>
        <v/>
      </c>
      <c r="O33" s="82" t="str">
        <f t="shared" si="5"/>
        <v/>
      </c>
      <c r="P33" s="73" t="str">
        <f t="shared" si="6"/>
        <v/>
      </c>
      <c r="Q33" s="83"/>
      <c r="S33" s="343"/>
      <c r="T33" s="343"/>
      <c r="U33" s="343"/>
      <c r="V33" s="76"/>
      <c r="W33" s="95"/>
      <c r="X33" s="85"/>
      <c r="Y33" s="86"/>
      <c r="Z33" s="86"/>
    </row>
    <row r="34" spans="2:26" ht="20.100000000000001" customHeight="1">
      <c r="B34" s="88" t="str">
        <f t="shared" si="7"/>
        <v/>
      </c>
      <c r="C34" s="88"/>
      <c r="D34" s="468" t="str">
        <f t="shared" si="0"/>
        <v/>
      </c>
      <c r="E34" s="342" t="str">
        <f t="shared" si="1"/>
        <v/>
      </c>
      <c r="F34" s="609"/>
      <c r="G34" s="171"/>
      <c r="H34" s="459" t="str">
        <f t="shared" si="2"/>
        <v/>
      </c>
      <c r="I34" s="638"/>
      <c r="J34" s="72"/>
      <c r="K34" s="459" t="str">
        <f t="shared" si="3"/>
        <v/>
      </c>
      <c r="L34" s="643"/>
      <c r="M34" s="102"/>
      <c r="N34" s="462" t="str">
        <f t="shared" si="4"/>
        <v/>
      </c>
      <c r="O34" s="82" t="str">
        <f t="shared" si="5"/>
        <v/>
      </c>
      <c r="P34" s="73" t="str">
        <f t="shared" si="6"/>
        <v/>
      </c>
      <c r="Q34" s="83"/>
      <c r="S34" s="343"/>
      <c r="T34" s="343"/>
      <c r="U34" s="343"/>
      <c r="V34" s="76"/>
      <c r="W34" s="95"/>
      <c r="X34" s="85"/>
      <c r="Y34" s="86"/>
      <c r="Z34" s="86"/>
    </row>
    <row r="35" spans="2:26" ht="20.100000000000001" customHeight="1">
      <c r="B35" s="88" t="str">
        <f t="shared" si="7"/>
        <v/>
      </c>
      <c r="C35" s="88"/>
      <c r="D35" s="468" t="str">
        <f t="shared" si="0"/>
        <v/>
      </c>
      <c r="E35" s="342" t="str">
        <f t="shared" si="1"/>
        <v/>
      </c>
      <c r="F35" s="609"/>
      <c r="G35" s="351"/>
      <c r="H35" s="459" t="str">
        <f t="shared" si="2"/>
        <v/>
      </c>
      <c r="I35" s="638"/>
      <c r="J35" s="72"/>
      <c r="K35" s="459" t="str">
        <f t="shared" si="3"/>
        <v/>
      </c>
      <c r="L35" s="643"/>
      <c r="M35" s="102"/>
      <c r="N35" s="462" t="str">
        <f t="shared" si="4"/>
        <v/>
      </c>
      <c r="O35" s="82" t="str">
        <f t="shared" ref="O35:O80" si="8">IF(F35="","",MONTH(G35))</f>
        <v/>
      </c>
      <c r="P35" s="73" t="str">
        <f t="shared" ref="P35:P80" si="9">IF(F35="","",DAY(G35))</f>
        <v/>
      </c>
      <c r="Q35" s="83"/>
      <c r="S35" s="343"/>
      <c r="T35" s="343"/>
      <c r="U35" s="343"/>
      <c r="V35" s="76"/>
      <c r="W35" s="95"/>
      <c r="X35" s="85"/>
      <c r="Y35" s="86"/>
      <c r="Z35" s="86"/>
    </row>
    <row r="36" spans="2:26" ht="20.100000000000001" customHeight="1">
      <c r="B36" s="88" t="str">
        <f t="shared" si="7"/>
        <v/>
      </c>
      <c r="C36" s="88"/>
      <c r="D36" s="468" t="str">
        <f t="shared" si="0"/>
        <v/>
      </c>
      <c r="E36" s="342" t="str">
        <f t="shared" si="1"/>
        <v/>
      </c>
      <c r="F36" s="629"/>
      <c r="G36" s="350"/>
      <c r="H36" s="459" t="str">
        <f t="shared" si="2"/>
        <v/>
      </c>
      <c r="I36" s="638"/>
      <c r="J36" s="72"/>
      <c r="K36" s="459" t="str">
        <f t="shared" si="3"/>
        <v/>
      </c>
      <c r="L36" s="643"/>
      <c r="M36" s="102"/>
      <c r="N36" s="462" t="str">
        <f t="shared" si="4"/>
        <v/>
      </c>
      <c r="O36" s="82" t="str">
        <f t="shared" si="8"/>
        <v/>
      </c>
      <c r="P36" s="73" t="str">
        <f t="shared" si="9"/>
        <v/>
      </c>
      <c r="Q36" s="83"/>
      <c r="S36" s="343"/>
      <c r="T36" s="343"/>
      <c r="U36" s="343"/>
      <c r="V36" s="76"/>
      <c r="W36" s="95"/>
      <c r="X36" s="85"/>
      <c r="Y36" s="86"/>
      <c r="Z36" s="86"/>
    </row>
    <row r="37" spans="2:26" ht="20.100000000000001" customHeight="1">
      <c r="B37" s="88" t="str">
        <f t="shared" si="7"/>
        <v/>
      </c>
      <c r="C37" s="88"/>
      <c r="D37" s="468" t="str">
        <f t="shared" si="0"/>
        <v/>
      </c>
      <c r="E37" s="342" t="str">
        <f t="shared" si="1"/>
        <v/>
      </c>
      <c r="F37" s="630"/>
      <c r="G37" s="173"/>
      <c r="H37" s="459" t="str">
        <f t="shared" si="2"/>
        <v/>
      </c>
      <c r="I37" s="638"/>
      <c r="J37" s="72"/>
      <c r="K37" s="459" t="str">
        <f t="shared" si="3"/>
        <v/>
      </c>
      <c r="L37" s="640"/>
      <c r="M37" s="100"/>
      <c r="N37" s="462" t="str">
        <f t="shared" si="4"/>
        <v/>
      </c>
      <c r="O37" s="82" t="str">
        <f t="shared" si="8"/>
        <v/>
      </c>
      <c r="P37" s="73" t="str">
        <f t="shared" si="9"/>
        <v/>
      </c>
      <c r="Q37" s="83"/>
      <c r="S37" s="343"/>
      <c r="T37" s="343"/>
      <c r="U37" s="343"/>
      <c r="V37" s="76"/>
      <c r="W37" s="95"/>
      <c r="X37" s="85"/>
      <c r="Y37" s="86"/>
      <c r="Z37" s="86"/>
    </row>
    <row r="38" spans="2:26" ht="20.100000000000001" customHeight="1">
      <c r="B38" s="88" t="str">
        <f t="shared" si="7"/>
        <v/>
      </c>
      <c r="C38" s="88"/>
      <c r="D38" s="468" t="str">
        <f t="shared" si="0"/>
        <v/>
      </c>
      <c r="E38" s="342" t="str">
        <f t="shared" si="1"/>
        <v/>
      </c>
      <c r="F38" s="609"/>
      <c r="G38" s="171"/>
      <c r="H38" s="459" t="str">
        <f t="shared" si="2"/>
        <v/>
      </c>
      <c r="I38" s="638"/>
      <c r="J38" s="72"/>
      <c r="K38" s="459" t="str">
        <f t="shared" si="3"/>
        <v/>
      </c>
      <c r="L38" s="643"/>
      <c r="M38" s="102"/>
      <c r="N38" s="462" t="str">
        <f t="shared" si="4"/>
        <v/>
      </c>
      <c r="O38" s="82" t="str">
        <f t="shared" si="8"/>
        <v/>
      </c>
      <c r="P38" s="73" t="str">
        <f t="shared" si="9"/>
        <v/>
      </c>
      <c r="Q38" s="83"/>
      <c r="S38" s="343"/>
      <c r="T38" s="343"/>
      <c r="U38" s="343"/>
      <c r="V38" s="76"/>
      <c r="W38" s="95"/>
      <c r="X38" s="85"/>
      <c r="Y38" s="86"/>
      <c r="Z38" s="86"/>
    </row>
    <row r="39" spans="2:26" ht="20.100000000000001" customHeight="1">
      <c r="B39" s="88" t="str">
        <f t="shared" si="7"/>
        <v/>
      </c>
      <c r="C39" s="88"/>
      <c r="D39" s="468" t="str">
        <f t="shared" si="0"/>
        <v/>
      </c>
      <c r="E39" s="342" t="str">
        <f t="shared" si="1"/>
        <v/>
      </c>
      <c r="F39" s="630"/>
      <c r="G39" s="173"/>
      <c r="H39" s="459" t="str">
        <f t="shared" si="2"/>
        <v/>
      </c>
      <c r="I39" s="638"/>
      <c r="J39" s="72"/>
      <c r="K39" s="459" t="str">
        <f t="shared" si="3"/>
        <v/>
      </c>
      <c r="L39" s="643"/>
      <c r="M39" s="102"/>
      <c r="N39" s="462" t="str">
        <f t="shared" si="4"/>
        <v/>
      </c>
      <c r="O39" s="82" t="str">
        <f t="shared" si="8"/>
        <v/>
      </c>
      <c r="P39" s="73" t="str">
        <f t="shared" si="9"/>
        <v/>
      </c>
      <c r="Q39" s="83"/>
      <c r="S39" s="343"/>
      <c r="T39" s="343"/>
      <c r="U39" s="343"/>
      <c r="V39" s="76"/>
      <c r="W39" s="95"/>
      <c r="X39" s="85"/>
      <c r="Y39" s="86"/>
      <c r="Z39" s="86"/>
    </row>
    <row r="40" spans="2:26" ht="20.100000000000001" customHeight="1">
      <c r="B40" s="88" t="str">
        <f t="shared" si="7"/>
        <v/>
      </c>
      <c r="C40" s="88"/>
      <c r="D40" s="468" t="str">
        <f t="shared" si="0"/>
        <v/>
      </c>
      <c r="E40" s="342" t="str">
        <f t="shared" si="1"/>
        <v/>
      </c>
      <c r="F40" s="630"/>
      <c r="G40" s="173"/>
      <c r="H40" s="459" t="str">
        <f t="shared" si="2"/>
        <v/>
      </c>
      <c r="I40" s="638"/>
      <c r="J40" s="72"/>
      <c r="K40" s="459" t="str">
        <f t="shared" si="3"/>
        <v/>
      </c>
      <c r="L40" s="643"/>
      <c r="M40" s="102"/>
      <c r="N40" s="462" t="str">
        <f t="shared" si="4"/>
        <v/>
      </c>
      <c r="O40" s="82" t="str">
        <f t="shared" si="8"/>
        <v/>
      </c>
      <c r="P40" s="73" t="str">
        <f t="shared" si="9"/>
        <v/>
      </c>
      <c r="Q40" s="83"/>
      <c r="S40" s="343"/>
      <c r="T40" s="343"/>
      <c r="U40" s="343"/>
      <c r="V40" s="76"/>
      <c r="W40" s="95"/>
      <c r="X40" s="85"/>
      <c r="Y40" s="86"/>
      <c r="Z40" s="86"/>
    </row>
    <row r="41" spans="2:26" ht="20.100000000000001" customHeight="1">
      <c r="B41" s="88" t="str">
        <f t="shared" si="7"/>
        <v/>
      </c>
      <c r="C41" s="88"/>
      <c r="D41" s="468" t="str">
        <f t="shared" si="0"/>
        <v/>
      </c>
      <c r="E41" s="342" t="str">
        <f t="shared" si="1"/>
        <v/>
      </c>
      <c r="F41" s="630"/>
      <c r="G41" s="173"/>
      <c r="H41" s="459" t="str">
        <f t="shared" si="2"/>
        <v/>
      </c>
      <c r="I41" s="638"/>
      <c r="J41" s="72"/>
      <c r="K41" s="459" t="str">
        <f t="shared" si="3"/>
        <v/>
      </c>
      <c r="L41" s="643"/>
      <c r="M41" s="102"/>
      <c r="N41" s="462" t="str">
        <f t="shared" si="4"/>
        <v/>
      </c>
      <c r="O41" s="82" t="str">
        <f t="shared" si="8"/>
        <v/>
      </c>
      <c r="P41" s="73" t="str">
        <f t="shared" si="9"/>
        <v/>
      </c>
      <c r="Q41" s="83"/>
      <c r="S41" s="343"/>
      <c r="T41" s="343"/>
      <c r="U41" s="343"/>
      <c r="V41" s="76"/>
      <c r="W41" s="95"/>
      <c r="X41" s="85"/>
      <c r="Y41" s="86"/>
      <c r="Z41" s="86"/>
    </row>
    <row r="42" spans="2:26" ht="20.100000000000001" customHeight="1">
      <c r="B42" s="88" t="str">
        <f t="shared" si="7"/>
        <v/>
      </c>
      <c r="C42" s="88"/>
      <c r="D42" s="468" t="str">
        <f t="shared" si="0"/>
        <v/>
      </c>
      <c r="E42" s="342" t="str">
        <f t="shared" si="1"/>
        <v/>
      </c>
      <c r="F42" s="630"/>
      <c r="G42" s="173"/>
      <c r="H42" s="459" t="str">
        <f t="shared" si="2"/>
        <v/>
      </c>
      <c r="I42" s="638"/>
      <c r="J42" s="72"/>
      <c r="K42" s="459" t="str">
        <f t="shared" si="3"/>
        <v/>
      </c>
      <c r="L42" s="643"/>
      <c r="M42" s="102"/>
      <c r="N42" s="462" t="str">
        <f t="shared" si="4"/>
        <v/>
      </c>
      <c r="O42" s="82" t="str">
        <f t="shared" si="8"/>
        <v/>
      </c>
      <c r="P42" s="73" t="str">
        <f t="shared" si="9"/>
        <v/>
      </c>
      <c r="Q42" s="83"/>
      <c r="S42" s="343"/>
      <c r="T42" s="343"/>
      <c r="U42" s="343"/>
      <c r="V42" s="76"/>
      <c r="W42" s="95"/>
      <c r="X42" s="85"/>
      <c r="Y42" s="86"/>
      <c r="Z42" s="86"/>
    </row>
    <row r="43" spans="2:26" ht="20.100000000000001" customHeight="1">
      <c r="B43" s="88" t="str">
        <f t="shared" si="7"/>
        <v/>
      </c>
      <c r="C43" s="88"/>
      <c r="D43" s="468" t="str">
        <f t="shared" si="0"/>
        <v/>
      </c>
      <c r="E43" s="342" t="str">
        <f t="shared" si="1"/>
        <v/>
      </c>
      <c r="F43" s="630"/>
      <c r="G43" s="173"/>
      <c r="H43" s="459" t="str">
        <f t="shared" si="2"/>
        <v/>
      </c>
      <c r="I43" s="638"/>
      <c r="J43" s="72"/>
      <c r="K43" s="459" t="str">
        <f t="shared" si="3"/>
        <v/>
      </c>
      <c r="L43" s="643"/>
      <c r="M43" s="102"/>
      <c r="N43" s="462" t="str">
        <f t="shared" si="4"/>
        <v/>
      </c>
      <c r="O43" s="82" t="str">
        <f t="shared" si="8"/>
        <v/>
      </c>
      <c r="P43" s="73" t="str">
        <f t="shared" si="9"/>
        <v/>
      </c>
      <c r="Q43" s="83"/>
      <c r="S43" s="343"/>
      <c r="T43" s="343"/>
      <c r="U43" s="343"/>
      <c r="V43" s="76"/>
      <c r="W43" s="95"/>
      <c r="X43" s="85"/>
      <c r="Y43" s="86"/>
      <c r="Z43" s="86"/>
    </row>
    <row r="44" spans="2:26" ht="20.100000000000001" customHeight="1">
      <c r="B44" s="88" t="str">
        <f t="shared" si="7"/>
        <v/>
      </c>
      <c r="C44" s="88"/>
      <c r="D44" s="468" t="str">
        <f t="shared" si="0"/>
        <v/>
      </c>
      <c r="E44" s="342" t="str">
        <f t="shared" si="1"/>
        <v/>
      </c>
      <c r="F44" s="628"/>
      <c r="G44" s="170"/>
      <c r="H44" s="459" t="str">
        <f t="shared" si="2"/>
        <v/>
      </c>
      <c r="I44" s="638"/>
      <c r="J44" s="72"/>
      <c r="K44" s="459" t="str">
        <f t="shared" si="3"/>
        <v/>
      </c>
      <c r="L44" s="643"/>
      <c r="M44" s="102"/>
      <c r="N44" s="462" t="str">
        <f t="shared" si="4"/>
        <v/>
      </c>
      <c r="O44" s="82" t="str">
        <f t="shared" si="8"/>
        <v/>
      </c>
      <c r="P44" s="73" t="str">
        <f t="shared" si="9"/>
        <v/>
      </c>
      <c r="Q44" s="83"/>
      <c r="S44" s="343"/>
      <c r="T44" s="343"/>
      <c r="U44" s="343"/>
      <c r="V44" s="76"/>
      <c r="W44" s="95"/>
      <c r="X44" s="85"/>
      <c r="Y44" s="86"/>
      <c r="Z44" s="86"/>
    </row>
    <row r="45" spans="2:26" ht="20.100000000000001" customHeight="1">
      <c r="B45" s="88" t="str">
        <f t="shared" si="7"/>
        <v/>
      </c>
      <c r="C45" s="88"/>
      <c r="D45" s="468" t="str">
        <f t="shared" si="0"/>
        <v/>
      </c>
      <c r="E45" s="342" t="str">
        <f t="shared" si="1"/>
        <v/>
      </c>
      <c r="F45" s="627"/>
      <c r="G45" s="169"/>
      <c r="H45" s="459" t="str">
        <f t="shared" si="2"/>
        <v/>
      </c>
      <c r="I45" s="638"/>
      <c r="J45" s="72"/>
      <c r="K45" s="459" t="str">
        <f t="shared" si="3"/>
        <v/>
      </c>
      <c r="L45" s="643"/>
      <c r="M45" s="102"/>
      <c r="N45" s="462" t="str">
        <f t="shared" si="4"/>
        <v/>
      </c>
      <c r="O45" s="82" t="str">
        <f t="shared" ref="O45:O63" si="10">IF(F45="","",MONTH(G45))</f>
        <v/>
      </c>
      <c r="P45" s="73" t="str">
        <f t="shared" ref="P45:P63" si="11">IF(F45="","",DAY(G45))</f>
        <v/>
      </c>
      <c r="Q45" s="83"/>
      <c r="S45" s="343"/>
      <c r="T45" s="343"/>
      <c r="U45" s="343"/>
      <c r="V45" s="76"/>
      <c r="W45" s="95"/>
      <c r="X45" s="85"/>
      <c r="Y45" s="86"/>
      <c r="Z45" s="86"/>
    </row>
    <row r="46" spans="2:26" ht="20.100000000000001" customHeight="1">
      <c r="B46" s="88" t="str">
        <f t="shared" si="7"/>
        <v/>
      </c>
      <c r="C46" s="88"/>
      <c r="D46" s="468" t="str">
        <f t="shared" si="0"/>
        <v/>
      </c>
      <c r="E46" s="342" t="str">
        <f t="shared" si="1"/>
        <v/>
      </c>
      <c r="F46" s="628"/>
      <c r="G46" s="170"/>
      <c r="H46" s="459" t="str">
        <f t="shared" si="2"/>
        <v/>
      </c>
      <c r="I46" s="638"/>
      <c r="J46" s="72"/>
      <c r="K46" s="459" t="str">
        <f t="shared" si="3"/>
        <v/>
      </c>
      <c r="L46" s="643"/>
      <c r="M46" s="102"/>
      <c r="N46" s="462" t="str">
        <f t="shared" si="4"/>
        <v/>
      </c>
      <c r="O46" s="82" t="str">
        <f t="shared" si="10"/>
        <v/>
      </c>
      <c r="P46" s="73" t="str">
        <f t="shared" si="11"/>
        <v/>
      </c>
      <c r="Q46" s="83"/>
      <c r="S46" s="343"/>
      <c r="T46" s="343"/>
      <c r="U46" s="343"/>
      <c r="V46" s="76"/>
      <c r="W46" s="95"/>
      <c r="X46" s="85"/>
      <c r="Y46" s="86"/>
      <c r="Z46" s="86"/>
    </row>
    <row r="47" spans="2:26" ht="20.100000000000001" customHeight="1">
      <c r="B47" s="88" t="str">
        <f t="shared" si="7"/>
        <v/>
      </c>
      <c r="C47" s="88"/>
      <c r="D47" s="468" t="str">
        <f t="shared" si="0"/>
        <v/>
      </c>
      <c r="E47" s="342" t="str">
        <f t="shared" si="1"/>
        <v/>
      </c>
      <c r="F47" s="630"/>
      <c r="G47" s="173"/>
      <c r="H47" s="459" t="str">
        <f t="shared" si="2"/>
        <v/>
      </c>
      <c r="I47" s="638"/>
      <c r="J47" s="72"/>
      <c r="K47" s="459" t="str">
        <f t="shared" si="3"/>
        <v/>
      </c>
      <c r="L47" s="643"/>
      <c r="M47" s="102"/>
      <c r="N47" s="462" t="str">
        <f t="shared" si="4"/>
        <v/>
      </c>
      <c r="O47" s="82" t="str">
        <f t="shared" si="10"/>
        <v/>
      </c>
      <c r="P47" s="73" t="str">
        <f t="shared" si="11"/>
        <v/>
      </c>
      <c r="Q47" s="83"/>
      <c r="S47" s="343"/>
      <c r="T47" s="343"/>
      <c r="U47" s="343"/>
      <c r="V47" s="76"/>
      <c r="W47" s="95"/>
      <c r="X47" s="85"/>
      <c r="Y47" s="86"/>
      <c r="Z47" s="86"/>
    </row>
    <row r="48" spans="2:26" ht="20.100000000000001" customHeight="1">
      <c r="B48" s="88" t="str">
        <f t="shared" si="7"/>
        <v/>
      </c>
      <c r="C48" s="88"/>
      <c r="D48" s="468" t="str">
        <f t="shared" si="0"/>
        <v/>
      </c>
      <c r="E48" s="342" t="str">
        <f t="shared" si="1"/>
        <v/>
      </c>
      <c r="F48" s="630"/>
      <c r="G48" s="173"/>
      <c r="H48" s="459" t="str">
        <f t="shared" si="2"/>
        <v/>
      </c>
      <c r="I48" s="638"/>
      <c r="J48" s="72"/>
      <c r="K48" s="459" t="str">
        <f t="shared" si="3"/>
        <v/>
      </c>
      <c r="L48" s="643"/>
      <c r="M48" s="102"/>
      <c r="N48" s="462" t="str">
        <f t="shared" si="4"/>
        <v/>
      </c>
      <c r="O48" s="82" t="str">
        <f t="shared" si="10"/>
        <v/>
      </c>
      <c r="P48" s="73" t="str">
        <f t="shared" si="11"/>
        <v/>
      </c>
      <c r="Q48" s="83"/>
      <c r="S48" s="343"/>
      <c r="T48" s="343"/>
      <c r="U48" s="343"/>
      <c r="V48" s="76"/>
      <c r="W48" s="95"/>
      <c r="X48" s="85"/>
      <c r="Y48" s="86"/>
      <c r="Z48" s="86"/>
    </row>
    <row r="49" spans="2:26" ht="20.100000000000001" customHeight="1">
      <c r="B49" s="88" t="str">
        <f t="shared" si="7"/>
        <v/>
      </c>
      <c r="C49" s="88"/>
      <c r="D49" s="468" t="str">
        <f t="shared" si="0"/>
        <v/>
      </c>
      <c r="E49" s="342" t="str">
        <f t="shared" si="1"/>
        <v/>
      </c>
      <c r="F49" s="630"/>
      <c r="G49" s="173"/>
      <c r="H49" s="459" t="str">
        <f t="shared" si="2"/>
        <v/>
      </c>
      <c r="I49" s="638"/>
      <c r="J49" s="72"/>
      <c r="K49" s="459" t="str">
        <f t="shared" si="3"/>
        <v/>
      </c>
      <c r="L49" s="643"/>
      <c r="M49" s="102"/>
      <c r="N49" s="462" t="str">
        <f t="shared" si="4"/>
        <v/>
      </c>
      <c r="O49" s="82" t="str">
        <f t="shared" si="10"/>
        <v/>
      </c>
      <c r="P49" s="73" t="str">
        <f t="shared" si="11"/>
        <v/>
      </c>
      <c r="Q49" s="83"/>
      <c r="S49" s="343"/>
      <c r="T49" s="343"/>
      <c r="U49" s="343"/>
      <c r="V49" s="76"/>
      <c r="W49" s="95"/>
      <c r="X49" s="85"/>
      <c r="Y49" s="86"/>
      <c r="Z49" s="86"/>
    </row>
    <row r="50" spans="2:26" ht="20.100000000000001" customHeight="1">
      <c r="B50" s="88" t="str">
        <f t="shared" si="7"/>
        <v/>
      </c>
      <c r="C50" s="88"/>
      <c r="D50" s="468" t="str">
        <f t="shared" si="0"/>
        <v/>
      </c>
      <c r="E50" s="342" t="str">
        <f t="shared" si="1"/>
        <v/>
      </c>
      <c r="F50" s="630"/>
      <c r="G50" s="173"/>
      <c r="H50" s="459" t="str">
        <f t="shared" si="2"/>
        <v/>
      </c>
      <c r="I50" s="638"/>
      <c r="J50" s="72"/>
      <c r="K50" s="459" t="str">
        <f t="shared" si="3"/>
        <v/>
      </c>
      <c r="L50" s="643"/>
      <c r="M50" s="102"/>
      <c r="N50" s="462" t="str">
        <f t="shared" si="4"/>
        <v/>
      </c>
      <c r="O50" s="82" t="str">
        <f t="shared" si="10"/>
        <v/>
      </c>
      <c r="P50" s="73" t="str">
        <f t="shared" si="11"/>
        <v/>
      </c>
      <c r="Q50" s="83"/>
      <c r="S50" s="343"/>
      <c r="T50" s="343"/>
      <c r="U50" s="343"/>
      <c r="V50" s="76"/>
      <c r="W50" s="95"/>
      <c r="X50" s="85"/>
      <c r="Y50" s="86"/>
      <c r="Z50" s="86"/>
    </row>
    <row r="51" spans="2:26" ht="20.100000000000001" customHeight="1">
      <c r="B51" s="88" t="str">
        <f t="shared" si="7"/>
        <v/>
      </c>
      <c r="C51" s="88"/>
      <c r="D51" s="468" t="str">
        <f t="shared" si="0"/>
        <v/>
      </c>
      <c r="E51" s="342" t="str">
        <f t="shared" si="1"/>
        <v/>
      </c>
      <c r="F51" s="627"/>
      <c r="G51" s="169"/>
      <c r="H51" s="459" t="str">
        <f t="shared" si="2"/>
        <v/>
      </c>
      <c r="I51" s="638"/>
      <c r="J51" s="72"/>
      <c r="K51" s="459" t="str">
        <f t="shared" si="3"/>
        <v/>
      </c>
      <c r="L51" s="643"/>
      <c r="M51" s="102"/>
      <c r="N51" s="462" t="str">
        <f t="shared" si="4"/>
        <v/>
      </c>
      <c r="O51" s="82" t="str">
        <f t="shared" si="10"/>
        <v/>
      </c>
      <c r="P51" s="73" t="str">
        <f t="shared" si="11"/>
        <v/>
      </c>
      <c r="Q51" s="83"/>
      <c r="S51" s="343"/>
      <c r="T51" s="343"/>
      <c r="U51" s="343"/>
      <c r="V51" s="76"/>
      <c r="W51" s="95"/>
      <c r="X51" s="85"/>
      <c r="Y51" s="86"/>
      <c r="Z51" s="86"/>
    </row>
    <row r="52" spans="2:26" ht="20.100000000000001" customHeight="1">
      <c r="B52" s="88" t="str">
        <f t="shared" si="7"/>
        <v/>
      </c>
      <c r="C52" s="88"/>
      <c r="D52" s="468" t="str">
        <f t="shared" si="0"/>
        <v/>
      </c>
      <c r="E52" s="342" t="str">
        <f t="shared" si="1"/>
        <v/>
      </c>
      <c r="F52" s="630"/>
      <c r="G52" s="173"/>
      <c r="H52" s="459" t="str">
        <f t="shared" si="2"/>
        <v/>
      </c>
      <c r="I52" s="638"/>
      <c r="J52" s="72"/>
      <c r="K52" s="459" t="str">
        <f t="shared" si="3"/>
        <v/>
      </c>
      <c r="L52" s="643"/>
      <c r="M52" s="102"/>
      <c r="N52" s="462" t="str">
        <f t="shared" si="4"/>
        <v/>
      </c>
      <c r="O52" s="82" t="str">
        <f t="shared" si="10"/>
        <v/>
      </c>
      <c r="P52" s="73" t="str">
        <f t="shared" si="11"/>
        <v/>
      </c>
      <c r="Q52" s="83"/>
      <c r="S52" s="343"/>
      <c r="T52" s="343"/>
      <c r="U52" s="343"/>
      <c r="V52" s="76"/>
      <c r="W52" s="95"/>
      <c r="X52" s="85"/>
      <c r="Y52" s="86"/>
      <c r="Z52" s="86"/>
    </row>
    <row r="53" spans="2:26" ht="20.100000000000001" customHeight="1">
      <c r="B53" s="88" t="str">
        <f t="shared" si="7"/>
        <v/>
      </c>
      <c r="C53" s="88"/>
      <c r="D53" s="468" t="str">
        <f t="shared" si="0"/>
        <v/>
      </c>
      <c r="E53" s="342" t="str">
        <f t="shared" si="1"/>
        <v/>
      </c>
      <c r="F53" s="609"/>
      <c r="G53" s="171"/>
      <c r="H53" s="459" t="str">
        <f t="shared" si="2"/>
        <v/>
      </c>
      <c r="I53" s="638"/>
      <c r="J53" s="72"/>
      <c r="K53" s="459" t="str">
        <f t="shared" si="3"/>
        <v/>
      </c>
      <c r="L53" s="643"/>
      <c r="M53" s="102"/>
      <c r="N53" s="462" t="str">
        <f t="shared" si="4"/>
        <v/>
      </c>
      <c r="O53" s="82" t="str">
        <f t="shared" si="10"/>
        <v/>
      </c>
      <c r="P53" s="73" t="str">
        <f t="shared" si="11"/>
        <v/>
      </c>
      <c r="Q53" s="83"/>
      <c r="S53" s="343"/>
      <c r="T53" s="343"/>
      <c r="U53" s="343"/>
      <c r="V53" s="76"/>
      <c r="W53" s="95"/>
      <c r="X53" s="85"/>
      <c r="Y53" s="86"/>
      <c r="Z53" s="86"/>
    </row>
    <row r="54" spans="2:26" ht="20.100000000000001" customHeight="1">
      <c r="B54" s="88" t="str">
        <f t="shared" si="7"/>
        <v/>
      </c>
      <c r="C54" s="88"/>
      <c r="D54" s="468" t="str">
        <f t="shared" si="0"/>
        <v/>
      </c>
      <c r="E54" s="342" t="str">
        <f t="shared" si="1"/>
        <v/>
      </c>
      <c r="F54" s="630"/>
      <c r="G54" s="173"/>
      <c r="H54" s="459" t="str">
        <f t="shared" si="2"/>
        <v/>
      </c>
      <c r="I54" s="638"/>
      <c r="J54" s="72"/>
      <c r="K54" s="459" t="str">
        <f t="shared" si="3"/>
        <v/>
      </c>
      <c r="L54" s="643"/>
      <c r="M54" s="102"/>
      <c r="N54" s="462" t="str">
        <f t="shared" si="4"/>
        <v/>
      </c>
      <c r="O54" s="82" t="str">
        <f t="shared" si="10"/>
        <v/>
      </c>
      <c r="P54" s="73" t="str">
        <f t="shared" si="11"/>
        <v/>
      </c>
      <c r="Q54" s="83"/>
      <c r="S54" s="343"/>
      <c r="T54" s="343"/>
      <c r="U54" s="343"/>
      <c r="V54" s="76"/>
      <c r="W54" s="95"/>
      <c r="X54" s="85"/>
      <c r="Y54" s="86"/>
      <c r="Z54" s="86"/>
    </row>
    <row r="55" spans="2:26" ht="20.100000000000001" customHeight="1">
      <c r="B55" s="88" t="str">
        <f t="shared" si="7"/>
        <v/>
      </c>
      <c r="C55" s="88"/>
      <c r="D55" s="468" t="str">
        <f t="shared" si="0"/>
        <v/>
      </c>
      <c r="E55" s="342" t="str">
        <f t="shared" si="1"/>
        <v/>
      </c>
      <c r="F55" s="630"/>
      <c r="G55" s="173"/>
      <c r="H55" s="459" t="str">
        <f t="shared" si="2"/>
        <v/>
      </c>
      <c r="I55" s="638"/>
      <c r="J55" s="72"/>
      <c r="K55" s="459" t="str">
        <f t="shared" si="3"/>
        <v/>
      </c>
      <c r="L55" s="643"/>
      <c r="M55" s="102"/>
      <c r="N55" s="462" t="str">
        <f t="shared" si="4"/>
        <v/>
      </c>
      <c r="O55" s="82" t="str">
        <f t="shared" si="10"/>
        <v/>
      </c>
      <c r="P55" s="73" t="str">
        <f t="shared" si="11"/>
        <v/>
      </c>
      <c r="Q55" s="83"/>
      <c r="S55" s="343"/>
      <c r="T55" s="343"/>
      <c r="U55" s="343"/>
      <c r="V55" s="76"/>
      <c r="W55" s="95"/>
      <c r="X55" s="85"/>
      <c r="Y55" s="86"/>
      <c r="Z55" s="86"/>
    </row>
    <row r="56" spans="2:26" ht="20.100000000000001" customHeight="1">
      <c r="B56" s="88" t="str">
        <f t="shared" si="7"/>
        <v/>
      </c>
      <c r="C56" s="88"/>
      <c r="D56" s="468" t="str">
        <f t="shared" si="0"/>
        <v/>
      </c>
      <c r="E56" s="342" t="str">
        <f t="shared" si="1"/>
        <v/>
      </c>
      <c r="F56" s="630"/>
      <c r="G56" s="173"/>
      <c r="H56" s="459" t="str">
        <f t="shared" si="2"/>
        <v/>
      </c>
      <c r="I56" s="638"/>
      <c r="J56" s="72"/>
      <c r="K56" s="459" t="str">
        <f t="shared" si="3"/>
        <v/>
      </c>
      <c r="L56" s="643"/>
      <c r="M56" s="102"/>
      <c r="N56" s="462" t="str">
        <f t="shared" si="4"/>
        <v/>
      </c>
      <c r="O56" s="82" t="str">
        <f t="shared" si="10"/>
        <v/>
      </c>
      <c r="P56" s="73" t="str">
        <f t="shared" si="11"/>
        <v/>
      </c>
      <c r="Q56" s="83"/>
      <c r="S56" s="343"/>
      <c r="T56" s="343"/>
      <c r="U56" s="343"/>
      <c r="V56" s="76"/>
      <c r="W56" s="95"/>
      <c r="X56" s="85"/>
      <c r="Y56" s="86"/>
      <c r="Z56" s="86"/>
    </row>
    <row r="57" spans="2:26" ht="20.100000000000001" customHeight="1">
      <c r="B57" s="88" t="str">
        <f t="shared" si="7"/>
        <v/>
      </c>
      <c r="C57" s="88"/>
      <c r="D57" s="468" t="str">
        <f t="shared" si="0"/>
        <v/>
      </c>
      <c r="E57" s="342" t="str">
        <f t="shared" si="1"/>
        <v/>
      </c>
      <c r="F57" s="609"/>
      <c r="G57" s="171"/>
      <c r="H57" s="459" t="str">
        <f t="shared" si="2"/>
        <v/>
      </c>
      <c r="I57" s="638"/>
      <c r="J57" s="72"/>
      <c r="K57" s="459" t="str">
        <f t="shared" si="3"/>
        <v/>
      </c>
      <c r="L57" s="643"/>
      <c r="M57" s="102"/>
      <c r="N57" s="462" t="str">
        <f t="shared" si="4"/>
        <v/>
      </c>
      <c r="O57" s="82" t="str">
        <f t="shared" si="10"/>
        <v/>
      </c>
      <c r="P57" s="73" t="str">
        <f t="shared" si="11"/>
        <v/>
      </c>
      <c r="Q57" s="83"/>
      <c r="S57" s="343"/>
      <c r="T57" s="343"/>
      <c r="U57" s="343"/>
      <c r="V57" s="76"/>
      <c r="W57" s="95"/>
      <c r="X57" s="85"/>
      <c r="Y57" s="86"/>
      <c r="Z57" s="86"/>
    </row>
    <row r="58" spans="2:26" ht="20.100000000000001" customHeight="1">
      <c r="B58" s="88" t="str">
        <f t="shared" si="7"/>
        <v/>
      </c>
      <c r="C58" s="88"/>
      <c r="D58" s="468" t="str">
        <f t="shared" si="0"/>
        <v/>
      </c>
      <c r="E58" s="342" t="str">
        <f t="shared" si="1"/>
        <v/>
      </c>
      <c r="F58" s="630"/>
      <c r="G58" s="173"/>
      <c r="H58" s="459" t="str">
        <f t="shared" si="2"/>
        <v/>
      </c>
      <c r="I58" s="638"/>
      <c r="J58" s="72"/>
      <c r="K58" s="459" t="str">
        <f t="shared" si="3"/>
        <v/>
      </c>
      <c r="L58" s="643"/>
      <c r="M58" s="102"/>
      <c r="N58" s="462" t="str">
        <f t="shared" si="4"/>
        <v/>
      </c>
      <c r="O58" s="82" t="str">
        <f t="shared" si="10"/>
        <v/>
      </c>
      <c r="P58" s="73" t="str">
        <f t="shared" si="11"/>
        <v/>
      </c>
      <c r="Q58" s="83"/>
      <c r="S58" s="343"/>
      <c r="T58" s="343"/>
      <c r="U58" s="343"/>
      <c r="V58" s="76"/>
      <c r="W58" s="95"/>
      <c r="X58" s="85"/>
      <c r="Y58" s="86"/>
      <c r="Z58" s="86"/>
    </row>
    <row r="59" spans="2:26" ht="20.100000000000001" customHeight="1">
      <c r="B59" s="88" t="str">
        <f t="shared" si="7"/>
        <v/>
      </c>
      <c r="C59" s="88"/>
      <c r="D59" s="468" t="str">
        <f t="shared" si="0"/>
        <v/>
      </c>
      <c r="E59" s="342" t="str">
        <f t="shared" si="1"/>
        <v/>
      </c>
      <c r="F59" s="627"/>
      <c r="G59" s="169"/>
      <c r="H59" s="459" t="str">
        <f t="shared" si="2"/>
        <v/>
      </c>
      <c r="I59" s="638"/>
      <c r="J59" s="72"/>
      <c r="K59" s="459" t="str">
        <f t="shared" si="3"/>
        <v/>
      </c>
      <c r="L59" s="643"/>
      <c r="M59" s="102"/>
      <c r="N59" s="462" t="str">
        <f t="shared" si="4"/>
        <v/>
      </c>
      <c r="O59" s="82" t="str">
        <f t="shared" si="10"/>
        <v/>
      </c>
      <c r="P59" s="73" t="str">
        <f t="shared" si="11"/>
        <v/>
      </c>
      <c r="Q59" s="83"/>
      <c r="S59" s="343"/>
      <c r="T59" s="343"/>
      <c r="U59" s="343"/>
      <c r="V59" s="76"/>
      <c r="W59" s="95"/>
      <c r="X59" s="85"/>
      <c r="Y59" s="86"/>
      <c r="Z59" s="86"/>
    </row>
    <row r="60" spans="2:26" ht="20.100000000000001" customHeight="1">
      <c r="B60" s="88" t="str">
        <f t="shared" si="7"/>
        <v/>
      </c>
      <c r="C60" s="88"/>
      <c r="D60" s="468" t="str">
        <f t="shared" si="0"/>
        <v/>
      </c>
      <c r="E60" s="342" t="str">
        <f t="shared" si="1"/>
        <v/>
      </c>
      <c r="F60" s="630"/>
      <c r="G60" s="173"/>
      <c r="H60" s="459" t="str">
        <f t="shared" si="2"/>
        <v/>
      </c>
      <c r="I60" s="638"/>
      <c r="J60" s="72"/>
      <c r="K60" s="459" t="str">
        <f t="shared" si="3"/>
        <v/>
      </c>
      <c r="L60" s="643"/>
      <c r="M60" s="102"/>
      <c r="N60" s="462" t="str">
        <f t="shared" si="4"/>
        <v/>
      </c>
      <c r="O60" s="82" t="str">
        <f t="shared" si="10"/>
        <v/>
      </c>
      <c r="P60" s="73" t="str">
        <f t="shared" si="11"/>
        <v/>
      </c>
      <c r="Q60" s="83"/>
      <c r="S60" s="343"/>
      <c r="T60" s="343"/>
      <c r="U60" s="343"/>
      <c r="V60" s="76"/>
      <c r="W60" s="95"/>
      <c r="X60" s="85"/>
      <c r="Y60" s="86"/>
      <c r="Z60" s="86"/>
    </row>
    <row r="61" spans="2:26" ht="20.100000000000001" customHeight="1">
      <c r="B61" s="88" t="str">
        <f t="shared" si="7"/>
        <v/>
      </c>
      <c r="C61" s="88"/>
      <c r="D61" s="468" t="str">
        <f t="shared" si="0"/>
        <v/>
      </c>
      <c r="E61" s="342" t="str">
        <f t="shared" si="1"/>
        <v/>
      </c>
      <c r="F61" s="630"/>
      <c r="G61" s="173"/>
      <c r="H61" s="459" t="str">
        <f t="shared" si="2"/>
        <v/>
      </c>
      <c r="I61" s="638"/>
      <c r="J61" s="72"/>
      <c r="K61" s="459" t="str">
        <f t="shared" si="3"/>
        <v/>
      </c>
      <c r="L61" s="643"/>
      <c r="M61" s="102"/>
      <c r="N61" s="462" t="str">
        <f t="shared" si="4"/>
        <v/>
      </c>
      <c r="O61" s="82" t="str">
        <f t="shared" si="10"/>
        <v/>
      </c>
      <c r="P61" s="73" t="str">
        <f t="shared" si="11"/>
        <v/>
      </c>
      <c r="Q61" s="83"/>
      <c r="S61" s="343"/>
      <c r="T61" s="343"/>
      <c r="U61" s="343"/>
      <c r="V61" s="76"/>
      <c r="W61" s="95"/>
      <c r="X61" s="85"/>
      <c r="Y61" s="86"/>
      <c r="Z61" s="86"/>
    </row>
    <row r="62" spans="2:26" ht="20.100000000000001" customHeight="1">
      <c r="B62" s="88" t="str">
        <f t="shared" si="7"/>
        <v/>
      </c>
      <c r="C62" s="88"/>
      <c r="D62" s="468" t="str">
        <f t="shared" si="0"/>
        <v/>
      </c>
      <c r="E62" s="342" t="str">
        <f t="shared" si="1"/>
        <v/>
      </c>
      <c r="F62" s="630"/>
      <c r="G62" s="173"/>
      <c r="H62" s="459" t="str">
        <f t="shared" si="2"/>
        <v/>
      </c>
      <c r="I62" s="638"/>
      <c r="J62" s="72"/>
      <c r="K62" s="459" t="str">
        <f t="shared" si="3"/>
        <v/>
      </c>
      <c r="L62" s="643"/>
      <c r="M62" s="102"/>
      <c r="N62" s="462" t="str">
        <f t="shared" si="4"/>
        <v/>
      </c>
      <c r="O62" s="82" t="str">
        <f t="shared" si="10"/>
        <v/>
      </c>
      <c r="P62" s="73" t="str">
        <f t="shared" si="11"/>
        <v/>
      </c>
      <c r="Q62" s="83"/>
      <c r="S62" s="343"/>
      <c r="T62" s="343"/>
      <c r="U62" s="343"/>
      <c r="V62" s="76"/>
      <c r="W62" s="95"/>
      <c r="X62" s="85"/>
      <c r="Y62" s="86"/>
      <c r="Z62" s="86"/>
    </row>
    <row r="63" spans="2:26" ht="20.100000000000001" customHeight="1">
      <c r="B63" s="88" t="str">
        <f t="shared" si="7"/>
        <v/>
      </c>
      <c r="C63" s="88"/>
      <c r="D63" s="468" t="str">
        <f t="shared" si="0"/>
        <v/>
      </c>
      <c r="E63" s="342" t="str">
        <f t="shared" si="1"/>
        <v/>
      </c>
      <c r="F63" s="628"/>
      <c r="G63" s="103"/>
      <c r="H63" s="459" t="str">
        <f t="shared" si="2"/>
        <v/>
      </c>
      <c r="I63" s="638"/>
      <c r="J63" s="72"/>
      <c r="K63" s="459" t="str">
        <f t="shared" si="3"/>
        <v/>
      </c>
      <c r="L63" s="643"/>
      <c r="M63" s="102"/>
      <c r="N63" s="462" t="str">
        <f t="shared" si="4"/>
        <v/>
      </c>
      <c r="O63" s="82" t="str">
        <f t="shared" si="10"/>
        <v/>
      </c>
      <c r="P63" s="73" t="str">
        <f t="shared" si="11"/>
        <v/>
      </c>
      <c r="Q63" s="83"/>
      <c r="S63" s="343"/>
      <c r="T63" s="343"/>
      <c r="U63" s="343"/>
      <c r="V63" s="76"/>
      <c r="W63" s="95"/>
      <c r="X63" s="85"/>
      <c r="Y63" s="86"/>
      <c r="Z63" s="86"/>
    </row>
    <row r="64" spans="2:26" ht="20.100000000000001" customHeight="1">
      <c r="B64" s="88" t="str">
        <f t="shared" si="7"/>
        <v/>
      </c>
      <c r="C64" s="88"/>
      <c r="D64" s="468" t="str">
        <f t="shared" si="0"/>
        <v/>
      </c>
      <c r="E64" s="342" t="str">
        <f t="shared" si="1"/>
        <v/>
      </c>
      <c r="F64" s="609"/>
      <c r="G64" s="351"/>
      <c r="H64" s="459" t="str">
        <f t="shared" si="2"/>
        <v/>
      </c>
      <c r="I64" s="638"/>
      <c r="J64" s="72"/>
      <c r="K64" s="459" t="str">
        <f t="shared" si="3"/>
        <v/>
      </c>
      <c r="L64" s="643"/>
      <c r="M64" s="102"/>
      <c r="N64" s="462" t="str">
        <f t="shared" si="4"/>
        <v/>
      </c>
      <c r="O64" s="82" t="str">
        <f t="shared" ref="O64:O72" si="12">IF(F64="","",MONTH(G64))</f>
        <v/>
      </c>
      <c r="P64" s="73" t="str">
        <f t="shared" ref="P64:P72" si="13">IF(F64="","",DAY(G64))</f>
        <v/>
      </c>
      <c r="Q64" s="83"/>
      <c r="S64" s="343"/>
      <c r="T64" s="343"/>
      <c r="U64" s="343"/>
      <c r="V64" s="76"/>
      <c r="W64" s="95"/>
      <c r="X64" s="85"/>
      <c r="Y64" s="86"/>
      <c r="Z64" s="86"/>
    </row>
    <row r="65" spans="2:26" ht="20.100000000000001" customHeight="1">
      <c r="B65" s="88" t="str">
        <f t="shared" si="7"/>
        <v/>
      </c>
      <c r="C65" s="88"/>
      <c r="D65" s="468" t="str">
        <f t="shared" si="0"/>
        <v/>
      </c>
      <c r="E65" s="342" t="str">
        <f t="shared" si="1"/>
        <v/>
      </c>
      <c r="F65" s="609"/>
      <c r="G65" s="72"/>
      <c r="H65" s="459" t="str">
        <f t="shared" si="2"/>
        <v/>
      </c>
      <c r="I65" s="638"/>
      <c r="J65" s="72"/>
      <c r="K65" s="459" t="str">
        <f t="shared" si="3"/>
        <v/>
      </c>
      <c r="L65" s="643"/>
      <c r="M65" s="102"/>
      <c r="N65" s="462" t="str">
        <f t="shared" si="4"/>
        <v/>
      </c>
      <c r="O65" s="82" t="str">
        <f t="shared" si="12"/>
        <v/>
      </c>
      <c r="P65" s="73" t="str">
        <f t="shared" si="13"/>
        <v/>
      </c>
      <c r="Q65" s="83"/>
      <c r="S65" s="343"/>
      <c r="T65" s="343"/>
      <c r="U65" s="343"/>
      <c r="V65" s="76"/>
      <c r="W65" s="95"/>
      <c r="X65" s="85"/>
      <c r="Y65" s="86"/>
      <c r="Z65" s="86"/>
    </row>
    <row r="66" spans="2:26" ht="20.100000000000001" customHeight="1">
      <c r="B66" s="88" t="str">
        <f t="shared" si="7"/>
        <v/>
      </c>
      <c r="C66" s="88"/>
      <c r="D66" s="468" t="str">
        <f t="shared" si="0"/>
        <v/>
      </c>
      <c r="E66" s="342" t="str">
        <f t="shared" si="1"/>
        <v/>
      </c>
      <c r="F66" s="609"/>
      <c r="G66" s="72"/>
      <c r="H66" s="459" t="str">
        <f t="shared" si="2"/>
        <v/>
      </c>
      <c r="I66" s="638"/>
      <c r="J66" s="72"/>
      <c r="K66" s="459" t="str">
        <f t="shared" si="3"/>
        <v/>
      </c>
      <c r="L66" s="643"/>
      <c r="M66" s="102"/>
      <c r="N66" s="462" t="str">
        <f t="shared" si="4"/>
        <v/>
      </c>
      <c r="O66" s="82" t="str">
        <f t="shared" si="12"/>
        <v/>
      </c>
      <c r="P66" s="73" t="str">
        <f t="shared" si="13"/>
        <v/>
      </c>
      <c r="Q66" s="83"/>
      <c r="S66" s="343"/>
      <c r="T66" s="343"/>
      <c r="U66" s="343"/>
      <c r="V66" s="76"/>
      <c r="W66" s="95"/>
      <c r="X66" s="85"/>
      <c r="Y66" s="86"/>
      <c r="Z66" s="86"/>
    </row>
    <row r="67" spans="2:26" ht="20.100000000000001" customHeight="1">
      <c r="B67" s="88" t="str">
        <f t="shared" si="7"/>
        <v/>
      </c>
      <c r="C67" s="88"/>
      <c r="D67" s="468" t="str">
        <f t="shared" ref="D67:D72" si="14">IF(F67="","",DATE($G$1,O67,P67))</f>
        <v/>
      </c>
      <c r="E67" s="342" t="str">
        <f t="shared" ref="E67:E80" si="15">IF(F67="","",IF(I67="",CONCATENATE(F67," (",H67,")"),IF(L67="",CONCATENATE(F67," (",H67,")  / ",I67," (",K67,")"),CONCATENATE(F67," (",H67,")  / ",I67," (",K67,")  / ",L67," (",N67,")"))))</f>
        <v/>
      </c>
      <c r="F67" s="609"/>
      <c r="G67" s="72"/>
      <c r="H67" s="459" t="str">
        <f t="shared" ref="H67:H72" si="16">IF(F67="","",$G$1-YEAR(G67))</f>
        <v/>
      </c>
      <c r="I67" s="638"/>
      <c r="J67" s="72"/>
      <c r="K67" s="459" t="str">
        <f t="shared" ref="K67:K72" si="17">IF(I67="","",$G$1-YEAR(J67))</f>
        <v/>
      </c>
      <c r="L67" s="643"/>
      <c r="M67" s="102"/>
      <c r="N67" s="462" t="str">
        <f t="shared" ref="N67:N72" si="18">IF(L67="","",$G$1-YEAR(M67))</f>
        <v/>
      </c>
      <c r="O67" s="82" t="str">
        <f t="shared" si="12"/>
        <v/>
      </c>
      <c r="P67" s="73" t="str">
        <f t="shared" si="13"/>
        <v/>
      </c>
      <c r="Q67" s="83"/>
      <c r="S67" s="343"/>
      <c r="T67" s="343"/>
      <c r="U67" s="343"/>
      <c r="V67" s="76"/>
      <c r="W67" s="95"/>
      <c r="X67" s="85"/>
      <c r="Y67" s="86"/>
      <c r="Z67" s="86"/>
    </row>
    <row r="68" spans="2:26" ht="20.100000000000001" customHeight="1">
      <c r="B68" s="88" t="str">
        <f t="shared" ref="B68:B72" si="19">IFERROR(IF(MONTH(D68)=1,D68,""),"")</f>
        <v/>
      </c>
      <c r="C68" s="88"/>
      <c r="D68" s="468" t="str">
        <f t="shared" si="14"/>
        <v/>
      </c>
      <c r="E68" s="342" t="str">
        <f t="shared" si="15"/>
        <v/>
      </c>
      <c r="F68" s="609"/>
      <c r="G68" s="72"/>
      <c r="H68" s="459" t="str">
        <f t="shared" si="16"/>
        <v/>
      </c>
      <c r="I68" s="638"/>
      <c r="J68" s="72"/>
      <c r="K68" s="459" t="str">
        <f t="shared" si="17"/>
        <v/>
      </c>
      <c r="L68" s="643"/>
      <c r="M68" s="102"/>
      <c r="N68" s="462" t="str">
        <f t="shared" si="18"/>
        <v/>
      </c>
      <c r="O68" s="82" t="str">
        <f t="shared" si="12"/>
        <v/>
      </c>
      <c r="P68" s="73" t="str">
        <f t="shared" si="13"/>
        <v/>
      </c>
      <c r="Q68" s="83"/>
      <c r="S68" s="343"/>
      <c r="T68" s="343"/>
      <c r="U68" s="343"/>
      <c r="V68" s="76"/>
      <c r="W68" s="95"/>
      <c r="X68" s="85"/>
      <c r="Y68" s="86"/>
      <c r="Z68" s="86"/>
    </row>
    <row r="69" spans="2:26" ht="20.100000000000001" customHeight="1">
      <c r="B69" s="88" t="str">
        <f t="shared" si="19"/>
        <v/>
      </c>
      <c r="C69" s="88"/>
      <c r="D69" s="468" t="str">
        <f t="shared" si="14"/>
        <v/>
      </c>
      <c r="E69" s="342" t="str">
        <f t="shared" si="15"/>
        <v/>
      </c>
      <c r="F69" s="609"/>
      <c r="G69" s="72"/>
      <c r="H69" s="459" t="str">
        <f t="shared" si="16"/>
        <v/>
      </c>
      <c r="I69" s="638"/>
      <c r="J69" s="72"/>
      <c r="K69" s="459" t="str">
        <f t="shared" si="17"/>
        <v/>
      </c>
      <c r="L69" s="643"/>
      <c r="M69" s="102"/>
      <c r="N69" s="462" t="str">
        <f t="shared" si="18"/>
        <v/>
      </c>
      <c r="O69" s="82" t="str">
        <f t="shared" si="12"/>
        <v/>
      </c>
      <c r="P69" s="73" t="str">
        <f t="shared" si="13"/>
        <v/>
      </c>
      <c r="Q69" s="83"/>
      <c r="S69" s="343"/>
      <c r="T69" s="343"/>
      <c r="U69" s="343"/>
      <c r="V69" s="76"/>
      <c r="W69" s="95"/>
      <c r="X69" s="85"/>
      <c r="Y69" s="86"/>
      <c r="Z69" s="86"/>
    </row>
    <row r="70" spans="2:26" ht="20.100000000000001" customHeight="1">
      <c r="B70" s="88" t="str">
        <f t="shared" si="19"/>
        <v/>
      </c>
      <c r="C70" s="88"/>
      <c r="D70" s="468" t="str">
        <f t="shared" si="14"/>
        <v/>
      </c>
      <c r="E70" s="342" t="str">
        <f t="shared" si="15"/>
        <v/>
      </c>
      <c r="F70" s="609"/>
      <c r="G70" s="72"/>
      <c r="H70" s="459" t="str">
        <f t="shared" si="16"/>
        <v/>
      </c>
      <c r="I70" s="638"/>
      <c r="J70" s="72"/>
      <c r="K70" s="459" t="str">
        <f t="shared" si="17"/>
        <v/>
      </c>
      <c r="L70" s="643"/>
      <c r="M70" s="102"/>
      <c r="N70" s="462" t="str">
        <f t="shared" si="18"/>
        <v/>
      </c>
      <c r="O70" s="82" t="str">
        <f t="shared" si="12"/>
        <v/>
      </c>
      <c r="P70" s="73" t="str">
        <f t="shared" si="13"/>
        <v/>
      </c>
      <c r="Q70" s="83"/>
      <c r="S70" s="343"/>
      <c r="T70" s="343"/>
      <c r="U70" s="343"/>
      <c r="V70" s="76"/>
      <c r="W70" s="95"/>
      <c r="X70" s="85"/>
      <c r="Y70" s="86"/>
      <c r="Z70" s="86"/>
    </row>
    <row r="71" spans="2:26" ht="20.100000000000001" customHeight="1">
      <c r="B71" s="88" t="str">
        <f t="shared" si="19"/>
        <v/>
      </c>
      <c r="C71" s="88"/>
      <c r="D71" s="468" t="str">
        <f t="shared" si="14"/>
        <v/>
      </c>
      <c r="E71" s="342" t="str">
        <f t="shared" si="15"/>
        <v/>
      </c>
      <c r="F71" s="609"/>
      <c r="G71" s="72"/>
      <c r="H71" s="459" t="str">
        <f t="shared" si="16"/>
        <v/>
      </c>
      <c r="I71" s="638"/>
      <c r="J71" s="72"/>
      <c r="K71" s="459" t="str">
        <f t="shared" si="17"/>
        <v/>
      </c>
      <c r="L71" s="643"/>
      <c r="M71" s="102"/>
      <c r="N71" s="462" t="str">
        <f t="shared" si="18"/>
        <v/>
      </c>
      <c r="O71" s="82" t="str">
        <f t="shared" si="12"/>
        <v/>
      </c>
      <c r="P71" s="73" t="str">
        <f t="shared" si="13"/>
        <v/>
      </c>
      <c r="Q71" s="83"/>
      <c r="S71" s="343"/>
      <c r="T71" s="343"/>
      <c r="U71" s="343"/>
      <c r="V71" s="76"/>
      <c r="W71" s="95"/>
      <c r="X71" s="85"/>
      <c r="Y71" s="86"/>
      <c r="Z71" s="86"/>
    </row>
    <row r="72" spans="2:26" ht="20.100000000000001" customHeight="1" thickBot="1">
      <c r="B72" s="88" t="str">
        <f t="shared" si="19"/>
        <v/>
      </c>
      <c r="C72" s="88"/>
      <c r="D72" s="469" t="str">
        <f t="shared" si="14"/>
        <v/>
      </c>
      <c r="E72" s="470" t="str">
        <f t="shared" si="15"/>
        <v/>
      </c>
      <c r="F72" s="616"/>
      <c r="G72" s="505"/>
      <c r="H72" s="460" t="str">
        <f t="shared" si="16"/>
        <v/>
      </c>
      <c r="I72" s="641"/>
      <c r="J72" s="505"/>
      <c r="K72" s="460" t="str">
        <f t="shared" si="17"/>
        <v/>
      </c>
      <c r="L72" s="644"/>
      <c r="M72" s="506"/>
      <c r="N72" s="463" t="str">
        <f t="shared" si="18"/>
        <v/>
      </c>
      <c r="O72" s="464" t="str">
        <f t="shared" si="12"/>
        <v/>
      </c>
      <c r="P72" s="73" t="str">
        <f t="shared" si="13"/>
        <v/>
      </c>
      <c r="Q72" s="83"/>
      <c r="S72" s="343"/>
      <c r="T72" s="343"/>
      <c r="U72" s="343"/>
      <c r="V72" s="76"/>
      <c r="W72" s="95"/>
      <c r="X72" s="85"/>
      <c r="Y72" s="86"/>
      <c r="Z72" s="86"/>
    </row>
    <row r="73" spans="2:26" ht="20.100000000000001" hidden="1" customHeight="1" thickBot="1">
      <c r="D73" s="471"/>
      <c r="E73" s="472" t="str">
        <f t="shared" si="15"/>
        <v/>
      </c>
      <c r="F73" s="631"/>
      <c r="G73" s="84"/>
      <c r="H73" s="73" t="str">
        <f t="shared" ref="H73" si="20">IF(F73="","",$G$1-YEAR(G73))</f>
        <v/>
      </c>
      <c r="I73" s="73"/>
      <c r="J73" s="84"/>
      <c r="K73" s="73" t="str">
        <f t="shared" ref="K73" si="21">IF(I73="","",$G$1-YEAR(J73))</f>
        <v/>
      </c>
      <c r="L73" s="76"/>
      <c r="M73" s="105"/>
      <c r="N73" s="83" t="str">
        <f t="shared" ref="N73" si="22">IF(L73="","",$G$1-YEAR(M73))</f>
        <v/>
      </c>
      <c r="O73" s="82" t="str">
        <f t="shared" si="8"/>
        <v/>
      </c>
      <c r="P73" s="83" t="str">
        <f t="shared" si="9"/>
        <v/>
      </c>
      <c r="S73" s="88"/>
      <c r="U73" s="82"/>
      <c r="V73" s="76"/>
      <c r="W73" s="95"/>
      <c r="X73" s="85"/>
    </row>
    <row r="74" spans="2:26" ht="20.100000000000001" hidden="1" customHeight="1">
      <c r="B74" s="474" cm="1">
        <f t="array" aca="1" ref="B74" ca="1">IFERROR(IF(ROW(B1)&gt; COUNTA($B$3:$B$72), "",INDEX($D:$D, SMALL(IF(B$3:B$72&lt;&gt;"",ROW($3:$72)), ROW(A1)))),"")</f>
        <v>45296</v>
      </c>
      <c r="C74" s="475">
        <f t="shared" ref="C74:C81" ca="1" si="23">IFERROR(SMALL($B$74:$B$81,(COLUMN(A1)-1)*7+ROW(A1)),"")</f>
        <v>45296</v>
      </c>
      <c r="D74" s="481">
        <f ca="1">IFERROR(DATE(YEAR(C74)+1,MONTH(C74),DAY(C74)),"")</f>
        <v>45662</v>
      </c>
      <c r="E74" s="482" t="str">
        <f t="shared" ca="1" si="15"/>
        <v>Person 1 (25)  / Person 2 (27)  / Person 3 (41)</v>
      </c>
      <c r="F74" s="632" t="str">
        <f ca="1">IF(VLOOKUP($C74,$D$3:$N$72,3,0)=0,"",VLOOKUP($C74,$D$3:$N$72,3,0))</f>
        <v>Person 1</v>
      </c>
      <c r="G74" s="484">
        <f ca="1">IF(F74="","",VLOOKUP($C74,$D$3:$N$72,4,0))</f>
        <v>36530</v>
      </c>
      <c r="H74" s="485">
        <f ca="1">IF(F74="","",$G$1+1-YEAR(G74))</f>
        <v>25</v>
      </c>
      <c r="I74" s="476" t="str">
        <f ca="1">IF(VLOOKUP($C74,$D$3:$N$72,6,0)=0,"",VLOOKUP($C74,$D$3:$N$72,6,0))</f>
        <v>Person 2</v>
      </c>
      <c r="J74" s="484">
        <f ca="1">IF(I74="","",VLOOKUP($C74,$D$3:$N$72,7,0))</f>
        <v>35800</v>
      </c>
      <c r="K74" s="486">
        <f ca="1">IF(I74="","",$G$1+1-YEAR(J74))</f>
        <v>27</v>
      </c>
      <c r="L74" s="476" t="str">
        <f ca="1">IF(VLOOKUP($C74,$D$3:$N$72,9,0)=0,"",VLOOKUP($C74,$D$3:$N$72,9,0))</f>
        <v>Person 3</v>
      </c>
      <c r="M74" s="484">
        <f ca="1">IF(L74="","",VLOOKUP($C74,$D$3:$N$72,10,0))</f>
        <v>30686</v>
      </c>
      <c r="N74" s="487">
        <f ca="1">IF(L74="","",$G$1+1-YEAR(M74))</f>
        <v>41</v>
      </c>
      <c r="O74" s="82">
        <f t="shared" ca="1" si="8"/>
        <v>1</v>
      </c>
      <c r="P74" s="73">
        <f t="shared" ca="1" si="9"/>
        <v>5</v>
      </c>
      <c r="S74" s="88"/>
      <c r="U74" s="82"/>
      <c r="V74" s="76"/>
      <c r="W74" s="95"/>
    </row>
    <row r="75" spans="2:26" ht="20.100000000000001" hidden="1" customHeight="1">
      <c r="B75" s="474" t="str" cm="1">
        <f t="array" aca="1" ref="B75" ca="1">IFERROR(IF(ROW(B2)&gt; COUNTA($B$3:$B$72), "",INDEX($D:$D, SMALL(IF(B$3:B$72&lt;&gt;"",ROW($3:$72)), ROW(A2)))),"")</f>
        <v/>
      </c>
      <c r="C75" s="475" t="str">
        <f t="shared" ca="1" si="23"/>
        <v/>
      </c>
      <c r="D75" s="477" t="str">
        <f t="shared" ref="D75:D81" ca="1" si="24">IFERROR(DATE(YEAR(C75)+1,MONTH(C75),DAY(C75)),"")</f>
        <v/>
      </c>
      <c r="E75" s="483" t="str">
        <f t="shared" ca="1" si="15"/>
        <v/>
      </c>
      <c r="F75" s="632" t="str">
        <f t="shared" ref="F75:F81" ca="1" si="25">IF(VLOOKUP($C75,$D$3:$F$72,3,0)=0,"",VLOOKUP($C75,$D$3:$F$72,3,0))</f>
        <v/>
      </c>
      <c r="G75" s="484" t="str">
        <f t="shared" ref="G75:G81" ca="1" si="26">IF(F75="","",VLOOKUP($C75,$D$3:$N$72,4,0))</f>
        <v/>
      </c>
      <c r="H75" s="485" t="str">
        <f t="shared" ref="H75:H80" ca="1" si="27">IF(F75="","",$G$1+1-YEAR(G75))</f>
        <v/>
      </c>
      <c r="I75" s="476" t="str">
        <f t="shared" ref="I75:I81" ca="1" si="28">IF(VLOOKUP($C75,$D$3:$N$72,6,0)=0,"",VLOOKUP($C75,$D$3:$N$72,6,0))</f>
        <v/>
      </c>
      <c r="J75" s="484" t="str">
        <f t="shared" ref="J75:J81" ca="1" si="29">IF(I75="","",VLOOKUP($C75,$D$3:$N$72,7,0))</f>
        <v/>
      </c>
      <c r="K75" s="486" t="str">
        <f t="shared" ref="K75:K80" ca="1" si="30">IF(I75="","",$G$1+1-YEAR(J75))</f>
        <v/>
      </c>
      <c r="L75" s="476" t="str">
        <f t="shared" ref="L75:L81" ca="1" si="31">IF(VLOOKUP($C75,$D$3:$N$72,9,0)=0,"",VLOOKUP($C75,$D$3:$N$72,9,0))</f>
        <v/>
      </c>
      <c r="M75" s="484" t="str">
        <f t="shared" ref="M75:M81" ca="1" si="32">IF(L75="","",VLOOKUP($C75,$D$3:$N$72,10,0))</f>
        <v/>
      </c>
      <c r="N75" s="487" t="str">
        <f t="shared" ref="N75:N80" ca="1" si="33">IF(L75="","",$G$1+1-YEAR(M75))</f>
        <v/>
      </c>
      <c r="O75" s="82" t="str">
        <f t="shared" ca="1" si="8"/>
        <v/>
      </c>
      <c r="P75" s="73" t="str">
        <f t="shared" ca="1" si="9"/>
        <v/>
      </c>
      <c r="S75" s="88"/>
      <c r="U75" s="82"/>
      <c r="V75" s="76"/>
      <c r="W75" s="95"/>
    </row>
    <row r="76" spans="2:26" ht="20.100000000000001" hidden="1" customHeight="1">
      <c r="B76" s="474" t="str" cm="1">
        <f t="array" aca="1" ref="B76" ca="1">IFERROR(IF(ROW(B3)&gt; COUNTA($B$3:$B$72), "",INDEX($D:$D, SMALL(IF(B$3:B$72&lt;&gt;"",ROW($3:$72)), ROW(A3)))),"")</f>
        <v/>
      </c>
      <c r="C76" s="475" t="str">
        <f t="shared" ca="1" si="23"/>
        <v/>
      </c>
      <c r="D76" s="477" t="str">
        <f t="shared" ca="1" si="24"/>
        <v/>
      </c>
      <c r="E76" s="483" t="str">
        <f t="shared" ca="1" si="15"/>
        <v/>
      </c>
      <c r="F76" s="632" t="str">
        <f t="shared" ca="1" si="25"/>
        <v/>
      </c>
      <c r="G76" s="484" t="str">
        <f t="shared" ca="1" si="26"/>
        <v/>
      </c>
      <c r="H76" s="485" t="str">
        <f t="shared" ca="1" si="27"/>
        <v/>
      </c>
      <c r="I76" s="476" t="str">
        <f t="shared" ca="1" si="28"/>
        <v/>
      </c>
      <c r="J76" s="484" t="str">
        <f t="shared" ca="1" si="29"/>
        <v/>
      </c>
      <c r="K76" s="486" t="str">
        <f t="shared" ca="1" si="30"/>
        <v/>
      </c>
      <c r="L76" s="476" t="str">
        <f t="shared" ca="1" si="31"/>
        <v/>
      </c>
      <c r="M76" s="484" t="str">
        <f t="shared" ca="1" si="32"/>
        <v/>
      </c>
      <c r="N76" s="487" t="str">
        <f t="shared" ca="1" si="33"/>
        <v/>
      </c>
      <c r="O76" s="82" t="str">
        <f t="shared" ca="1" si="8"/>
        <v/>
      </c>
      <c r="P76" s="73" t="str">
        <f t="shared" ca="1" si="9"/>
        <v/>
      </c>
      <c r="S76" s="88"/>
      <c r="U76" s="82"/>
      <c r="V76" s="76"/>
      <c r="W76" s="95"/>
    </row>
    <row r="77" spans="2:26" ht="20.100000000000001" hidden="1" customHeight="1">
      <c r="B77" s="474" t="str" cm="1">
        <f t="array" aca="1" ref="B77" ca="1">IFERROR(IF(ROW(B4)&gt; COUNTA($B$3:$B$72), "",INDEX($D:$D, SMALL(IF(B$3:B$72&lt;&gt;"",ROW($3:$72)), ROW(A4)))),"")</f>
        <v/>
      </c>
      <c r="C77" s="475" t="str">
        <f t="shared" ca="1" si="23"/>
        <v/>
      </c>
      <c r="D77" s="477" t="str">
        <f t="shared" ca="1" si="24"/>
        <v/>
      </c>
      <c r="E77" s="483" t="str">
        <f t="shared" ca="1" si="15"/>
        <v/>
      </c>
      <c r="F77" s="632" t="str">
        <f t="shared" ca="1" si="25"/>
        <v/>
      </c>
      <c r="G77" s="484" t="str">
        <f t="shared" ca="1" si="26"/>
        <v/>
      </c>
      <c r="H77" s="485" t="str">
        <f t="shared" ca="1" si="27"/>
        <v/>
      </c>
      <c r="I77" s="476" t="str">
        <f t="shared" ca="1" si="28"/>
        <v/>
      </c>
      <c r="J77" s="484" t="str">
        <f t="shared" ca="1" si="29"/>
        <v/>
      </c>
      <c r="K77" s="486" t="str">
        <f t="shared" ca="1" si="30"/>
        <v/>
      </c>
      <c r="L77" s="476" t="str">
        <f t="shared" ca="1" si="31"/>
        <v/>
      </c>
      <c r="M77" s="484" t="str">
        <f t="shared" ca="1" si="32"/>
        <v/>
      </c>
      <c r="N77" s="487" t="str">
        <f t="shared" ca="1" si="33"/>
        <v/>
      </c>
      <c r="O77" s="82" t="str">
        <f t="shared" ca="1" si="8"/>
        <v/>
      </c>
      <c r="P77" s="73" t="str">
        <f t="shared" ca="1" si="9"/>
        <v/>
      </c>
      <c r="S77" s="88"/>
      <c r="U77" s="82"/>
      <c r="V77" s="76"/>
      <c r="W77" s="95"/>
    </row>
    <row r="78" spans="2:26" ht="20.100000000000001" hidden="1" customHeight="1">
      <c r="B78" s="474" t="str" cm="1">
        <f t="array" aca="1" ref="B78" ca="1">IFERROR(IF(ROW(B5)&gt; COUNTA($B$3:$B$72), "",INDEX($D:$D, SMALL(IF(B$3:B$72&lt;&gt;"",ROW($3:$72)), ROW(A5)))),"")</f>
        <v/>
      </c>
      <c r="C78" s="475" t="str">
        <f t="shared" ca="1" si="23"/>
        <v/>
      </c>
      <c r="D78" s="477" t="str">
        <f t="shared" ca="1" si="24"/>
        <v/>
      </c>
      <c r="E78" s="483" t="str">
        <f t="shared" ca="1" si="15"/>
        <v/>
      </c>
      <c r="F78" s="632" t="str">
        <f t="shared" ca="1" si="25"/>
        <v/>
      </c>
      <c r="G78" s="484" t="str">
        <f t="shared" ca="1" si="26"/>
        <v/>
      </c>
      <c r="H78" s="485" t="str">
        <f t="shared" ca="1" si="27"/>
        <v/>
      </c>
      <c r="I78" s="476" t="str">
        <f t="shared" ca="1" si="28"/>
        <v/>
      </c>
      <c r="J78" s="484" t="str">
        <f t="shared" ca="1" si="29"/>
        <v/>
      </c>
      <c r="K78" s="486" t="str">
        <f t="shared" ca="1" si="30"/>
        <v/>
      </c>
      <c r="L78" s="476" t="str">
        <f t="shared" ca="1" si="31"/>
        <v/>
      </c>
      <c r="M78" s="484" t="str">
        <f t="shared" ca="1" si="32"/>
        <v/>
      </c>
      <c r="N78" s="487" t="str">
        <f t="shared" ca="1" si="33"/>
        <v/>
      </c>
      <c r="O78" s="82" t="str">
        <f t="shared" ca="1" si="8"/>
        <v/>
      </c>
      <c r="P78" s="73" t="str">
        <f t="shared" ca="1" si="9"/>
        <v/>
      </c>
      <c r="S78" s="88"/>
      <c r="U78" s="82"/>
      <c r="V78" s="76"/>
      <c r="W78" s="95"/>
    </row>
    <row r="79" spans="2:26" ht="20.100000000000001" hidden="1" customHeight="1">
      <c r="B79" s="474" t="str" cm="1">
        <f t="array" aca="1" ref="B79" ca="1">IFERROR(IF(ROW(B6)&gt; COUNTA($B$3:$B$72), "",INDEX($D:$D, SMALL(IF(B$3:B$72&lt;&gt;"",ROW($3:$72)), ROW(A6)))),"")</f>
        <v/>
      </c>
      <c r="C79" s="475" t="str">
        <f t="shared" ca="1" si="23"/>
        <v/>
      </c>
      <c r="D79" s="477" t="str">
        <f t="shared" ca="1" si="24"/>
        <v/>
      </c>
      <c r="E79" s="483" t="str">
        <f t="shared" ca="1" si="15"/>
        <v/>
      </c>
      <c r="F79" s="476" t="str">
        <f t="shared" ca="1" si="25"/>
        <v/>
      </c>
      <c r="G79" s="484" t="str">
        <f t="shared" ca="1" si="26"/>
        <v/>
      </c>
      <c r="H79" s="485" t="str">
        <f t="shared" ca="1" si="27"/>
        <v/>
      </c>
      <c r="I79" s="476" t="str">
        <f t="shared" ca="1" si="28"/>
        <v/>
      </c>
      <c r="J79" s="484" t="str">
        <f t="shared" ca="1" si="29"/>
        <v/>
      </c>
      <c r="K79" s="486" t="str">
        <f t="shared" ca="1" si="30"/>
        <v/>
      </c>
      <c r="L79" s="476" t="str">
        <f t="shared" ca="1" si="31"/>
        <v/>
      </c>
      <c r="M79" s="484" t="str">
        <f t="shared" ca="1" si="32"/>
        <v/>
      </c>
      <c r="N79" s="487" t="str">
        <f t="shared" ca="1" si="33"/>
        <v/>
      </c>
      <c r="O79" s="82" t="str">
        <f t="shared" ca="1" si="8"/>
        <v/>
      </c>
      <c r="P79" s="73" t="str">
        <f t="shared" ca="1" si="9"/>
        <v/>
      </c>
      <c r="S79" s="88"/>
      <c r="U79" s="82"/>
      <c r="V79" s="76"/>
      <c r="W79" s="95"/>
    </row>
    <row r="80" spans="2:26" ht="20.100000000000001" hidden="1" customHeight="1">
      <c r="B80" s="474" t="str" cm="1">
        <f t="array" aca="1" ref="B80" ca="1">IFERROR(IF(ROW(B7)&gt; COUNTA($B$3:$B$72), "",INDEX($D:$D, SMALL(IF(B$3:B$72&lt;&gt;"",ROW($3:$72)), ROW(A7)))),"")</f>
        <v/>
      </c>
      <c r="C80" s="475" t="str">
        <f t="shared" ca="1" si="23"/>
        <v/>
      </c>
      <c r="D80" s="477" t="str">
        <f t="shared" ca="1" si="24"/>
        <v/>
      </c>
      <c r="E80" s="483" t="str">
        <f t="shared" ca="1" si="15"/>
        <v/>
      </c>
      <c r="F80" s="476" t="str">
        <f t="shared" ca="1" si="25"/>
        <v/>
      </c>
      <c r="G80" s="484" t="str">
        <f t="shared" ca="1" si="26"/>
        <v/>
      </c>
      <c r="H80" s="485" t="str">
        <f t="shared" ca="1" si="27"/>
        <v/>
      </c>
      <c r="I80" s="476" t="str">
        <f t="shared" ca="1" si="28"/>
        <v/>
      </c>
      <c r="J80" s="484" t="str">
        <f t="shared" ca="1" si="29"/>
        <v/>
      </c>
      <c r="K80" s="486" t="str">
        <f t="shared" ca="1" si="30"/>
        <v/>
      </c>
      <c r="L80" s="476" t="str">
        <f t="shared" ca="1" si="31"/>
        <v/>
      </c>
      <c r="M80" s="484" t="str">
        <f t="shared" ca="1" si="32"/>
        <v/>
      </c>
      <c r="N80" s="487" t="str">
        <f t="shared" ca="1" si="33"/>
        <v/>
      </c>
      <c r="O80" s="82" t="str">
        <f t="shared" ca="1" si="8"/>
        <v/>
      </c>
      <c r="P80" s="73" t="str">
        <f t="shared" ca="1" si="9"/>
        <v/>
      </c>
      <c r="S80" s="88"/>
      <c r="U80" s="82"/>
      <c r="V80" s="76"/>
      <c r="W80" s="95"/>
    </row>
    <row r="81" spans="2:23" ht="20.100000000000001" hidden="1" customHeight="1" thickBot="1">
      <c r="B81" s="474" t="str" cm="1">
        <f t="array" aca="1" ref="B81" ca="1">IFERROR(IF(ROW(B8)&gt; COUNTA($B$3:$B$72), "",INDEX($D:$D, SMALL(IF(B$3:B$72&lt;&gt;"",ROW($3:$72)), ROW(A8)))),"")</f>
        <v/>
      </c>
      <c r="C81" s="475" t="str">
        <f t="shared" ca="1" si="23"/>
        <v/>
      </c>
      <c r="D81" s="478" t="str">
        <f t="shared" ca="1" si="24"/>
        <v/>
      </c>
      <c r="E81" s="479" t="str">
        <f ca="1">VLOOKUP(C81,$D$3:$E$72,2,0)</f>
        <v/>
      </c>
      <c r="F81" s="479" t="str">
        <f t="shared" ca="1" si="25"/>
        <v/>
      </c>
      <c r="G81" s="488" t="str">
        <f t="shared" ca="1" si="26"/>
        <v/>
      </c>
      <c r="H81" s="489" t="str">
        <f t="shared" ref="H81" ca="1" si="34">IF(F81="","",$G$1-YEAR(G81))</f>
        <v/>
      </c>
      <c r="I81" s="479" t="str">
        <f t="shared" ca="1" si="28"/>
        <v/>
      </c>
      <c r="J81" s="488" t="str">
        <f t="shared" ca="1" si="29"/>
        <v/>
      </c>
      <c r="K81" s="490" t="str">
        <f t="shared" ref="K81" ca="1" si="35">IF(I81="","",$G$1-YEAR(J81))</f>
        <v/>
      </c>
      <c r="L81" s="479" t="str">
        <f t="shared" ca="1" si="31"/>
        <v/>
      </c>
      <c r="M81" s="488" t="str">
        <f t="shared" ca="1" si="32"/>
        <v/>
      </c>
      <c r="N81" s="479" t="str">
        <f t="shared" ref="N81" ca="1" si="36">IF(L81="","",VLOOKUP($C81,$D$3:$N$72,11,0))</f>
        <v/>
      </c>
      <c r="O81" s="38" t="str">
        <f t="shared" ref="O81" si="37">IF(V8="","",MONTH(V8))</f>
        <v/>
      </c>
      <c r="P81" s="40" t="str">
        <f t="shared" ref="P81" si="38">IF(V8="","",DAY(V8))</f>
        <v/>
      </c>
      <c r="S81" s="88"/>
      <c r="U81" s="82"/>
      <c r="V81" s="76"/>
      <c r="W81" s="95"/>
    </row>
    <row r="82" spans="2:23" ht="20.100000000000001" hidden="1" customHeight="1">
      <c r="D82" s="480"/>
      <c r="E82" s="472" t="str">
        <f>IF(F82="","",IF(I82="",CONCATENATE(F82," (",H82,")"),IF(L82="",CONCATENATE(F82," (",H82,")  / ",I82," (",K82,")"),CONCATENATE(F82," (",H82,")  / ",I82," (",K82,")  / ",L82," (",N82,")"))))</f>
        <v/>
      </c>
      <c r="F82" s="473"/>
      <c r="G82" s="84"/>
      <c r="H82" s="73"/>
      <c r="I82" s="73"/>
      <c r="J82" s="84"/>
      <c r="K82" s="73"/>
      <c r="L82" s="76"/>
      <c r="M82" s="105"/>
      <c r="N82" s="83"/>
      <c r="O82" s="82"/>
      <c r="P82" s="83"/>
      <c r="S82" s="88"/>
      <c r="U82" s="82"/>
      <c r="V82" s="76"/>
      <c r="W82" s="95"/>
    </row>
    <row r="83" spans="2:23" ht="20.100000000000001" customHeight="1">
      <c r="S83" s="88"/>
    </row>
    <row r="84" spans="2:23" ht="20.100000000000001" customHeight="1">
      <c r="S84" s="88"/>
    </row>
    <row r="85" spans="2:23" ht="20.100000000000001" customHeight="1">
      <c r="S85" s="88"/>
    </row>
    <row r="86" spans="2:23" ht="20.100000000000001" customHeight="1">
      <c r="D86" s="752"/>
      <c r="E86" s="752"/>
      <c r="F86" s="90"/>
      <c r="G86" s="752"/>
      <c r="H86" s="752"/>
      <c r="I86" s="752"/>
      <c r="J86" s="752"/>
      <c r="K86" s="752"/>
      <c r="S86" s="88"/>
    </row>
    <row r="87" spans="2:23" ht="20.100000000000001" customHeight="1">
      <c r="D87" s="752"/>
      <c r="E87" s="752"/>
      <c r="F87" s="90"/>
      <c r="G87" s="752"/>
      <c r="H87" s="752"/>
      <c r="I87" s="752"/>
      <c r="J87" s="752"/>
      <c r="K87" s="752"/>
      <c r="S87" s="88"/>
    </row>
    <row r="88" spans="2:23" ht="20.100000000000001" customHeight="1">
      <c r="D88" s="752"/>
      <c r="E88" s="752"/>
      <c r="F88" s="90"/>
      <c r="G88" s="90"/>
      <c r="H88" s="90"/>
      <c r="I88" s="90"/>
      <c r="J88" s="90"/>
      <c r="S88" s="88"/>
    </row>
    <row r="89" spans="2:23" ht="20.100000000000001" customHeight="1">
      <c r="D89" s="752"/>
      <c r="E89" s="752"/>
      <c r="S89" s="88"/>
    </row>
    <row r="90" spans="2:23" ht="15.6" customHeight="1">
      <c r="S90" s="88"/>
    </row>
    <row r="91" spans="2:23" ht="15.6" customHeight="1">
      <c r="S91" s="88"/>
    </row>
    <row r="92" spans="2:23" ht="15.6" customHeight="1">
      <c r="S92" s="88"/>
    </row>
    <row r="93" spans="2:23" ht="15.6" customHeight="1">
      <c r="S93" s="88"/>
    </row>
    <row r="94" spans="2:23" ht="15.6" customHeight="1">
      <c r="S94" s="88"/>
    </row>
    <row r="95" spans="2:23" ht="15.6" customHeight="1">
      <c r="S95" s="88"/>
    </row>
    <row r="96" spans="2:23" ht="15.6" customHeight="1">
      <c r="S96" s="88"/>
    </row>
    <row r="97" spans="19:19" ht="15.6" customHeight="1">
      <c r="S97" s="88"/>
    </row>
    <row r="98" spans="19:19" ht="15.6" customHeight="1">
      <c r="S98" s="88"/>
    </row>
    <row r="99" spans="19:19" ht="15.6" customHeight="1">
      <c r="S99" s="88"/>
    </row>
    <row r="100" spans="19:19" ht="15.6" customHeight="1">
      <c r="S100" s="88"/>
    </row>
    <row r="101" spans="19:19" ht="15.6" customHeight="1">
      <c r="S101" s="88"/>
    </row>
    <row r="102" spans="19:19" ht="15.6" customHeight="1">
      <c r="S102" s="88"/>
    </row>
    <row r="103" spans="19:19" ht="15.6" customHeight="1">
      <c r="S103" s="88"/>
    </row>
    <row r="104" spans="19:19" ht="15.6" customHeight="1">
      <c r="S104" s="88"/>
    </row>
    <row r="105" spans="19:19" ht="15.6" customHeight="1">
      <c r="S105" s="88"/>
    </row>
    <row r="106" spans="19:19" ht="15.6" customHeight="1">
      <c r="S106" s="88"/>
    </row>
    <row r="107" spans="19:19" ht="15.6" customHeight="1">
      <c r="S107" s="88"/>
    </row>
    <row r="108" spans="19:19" ht="15.6" customHeight="1">
      <c r="S108" s="88"/>
    </row>
    <row r="109" spans="19:19" ht="15.6" customHeight="1">
      <c r="S109" s="88"/>
    </row>
    <row r="110" spans="19:19" ht="15.6" customHeight="1">
      <c r="S110" s="88"/>
    </row>
    <row r="111" spans="19:19" ht="15.6" customHeight="1">
      <c r="S111" s="88"/>
    </row>
    <row r="112" spans="19:19" ht="15.6" customHeight="1">
      <c r="S112" s="88"/>
    </row>
    <row r="113" spans="19:19" ht="15.6" customHeight="1">
      <c r="S113" s="88"/>
    </row>
    <row r="114" spans="19:19" ht="15.6" customHeight="1">
      <c r="S114" s="88"/>
    </row>
    <row r="115" spans="19:19" ht="15.6" customHeight="1">
      <c r="S115" s="88"/>
    </row>
    <row r="116" spans="19:19" ht="15.6" customHeight="1">
      <c r="S116" s="88"/>
    </row>
    <row r="117" spans="19:19" ht="15.6" customHeight="1">
      <c r="S117" s="88"/>
    </row>
    <row r="118" spans="19:19" ht="15.6" customHeight="1">
      <c r="S118" s="88"/>
    </row>
    <row r="119" spans="19:19" ht="15.6" customHeight="1">
      <c r="S119" s="88"/>
    </row>
    <row r="120" spans="19:19" ht="15.6" customHeight="1">
      <c r="S120" s="88"/>
    </row>
    <row r="121" spans="19:19" ht="15.6" customHeight="1">
      <c r="S121" s="88"/>
    </row>
    <row r="122" spans="19:19" ht="15.6" customHeight="1">
      <c r="S122" s="88"/>
    </row>
    <row r="123" spans="19:19" ht="15.6" customHeight="1">
      <c r="S123" s="88"/>
    </row>
    <row r="124" spans="19:19" ht="15.6" customHeight="1">
      <c r="S124" s="88"/>
    </row>
    <row r="125" spans="19:19" ht="15.6" customHeight="1">
      <c r="S125" s="88"/>
    </row>
    <row r="126" spans="19:19" ht="15.6" customHeight="1">
      <c r="S126" s="88"/>
    </row>
    <row r="127" spans="19:19" ht="15.6" customHeight="1">
      <c r="S127" s="88"/>
    </row>
    <row r="128" spans="19:19" ht="15.6" customHeight="1">
      <c r="S128" s="88"/>
    </row>
    <row r="129" spans="19:19" ht="15.6" customHeight="1">
      <c r="S129" s="88"/>
    </row>
    <row r="130" spans="19:19" ht="15.6" customHeight="1">
      <c r="S130" s="88"/>
    </row>
    <row r="131" spans="19:19" ht="15.6" customHeight="1">
      <c r="S131" s="88"/>
    </row>
    <row r="132" spans="19:19" ht="15.6" customHeight="1">
      <c r="S132" s="88"/>
    </row>
    <row r="133" spans="19:19" ht="15.6" customHeight="1">
      <c r="S133" s="88"/>
    </row>
    <row r="134" spans="19:19" ht="15.6" customHeight="1">
      <c r="S134" s="88"/>
    </row>
    <row r="135" spans="19:19" ht="15.6" customHeight="1">
      <c r="S135" s="88"/>
    </row>
    <row r="136" spans="19:19" ht="15.6" customHeight="1">
      <c r="S136" s="88"/>
    </row>
    <row r="137" spans="19:19" ht="15.6" customHeight="1">
      <c r="S137" s="88"/>
    </row>
    <row r="138" spans="19:19" ht="15.6" customHeight="1">
      <c r="S138" s="88"/>
    </row>
    <row r="139" spans="19:19" ht="15.6" customHeight="1">
      <c r="S139" s="88"/>
    </row>
    <row r="140" spans="19:19" ht="15.6" customHeight="1">
      <c r="S140" s="88"/>
    </row>
    <row r="141" spans="19:19" ht="15.6" customHeight="1">
      <c r="S141" s="88"/>
    </row>
    <row r="142" spans="19:19" ht="15.6" customHeight="1">
      <c r="S142" s="88"/>
    </row>
    <row r="143" spans="19:19" ht="15.6" customHeight="1">
      <c r="S143" s="88"/>
    </row>
    <row r="144" spans="19:19" ht="15.6" customHeight="1">
      <c r="S144" s="88"/>
    </row>
    <row r="145" spans="19:19" ht="15.6" customHeight="1">
      <c r="S145" s="88"/>
    </row>
    <row r="146" spans="19:19" ht="15.6" customHeight="1">
      <c r="S146" s="88"/>
    </row>
    <row r="147" spans="19:19" ht="15.6" customHeight="1">
      <c r="S147" s="88"/>
    </row>
    <row r="148" spans="19:19" ht="15.6" customHeight="1">
      <c r="S148" s="88"/>
    </row>
    <row r="149" spans="19:19" ht="15.6" customHeight="1">
      <c r="S149" s="88"/>
    </row>
    <row r="150" spans="19:19" ht="15.6" customHeight="1">
      <c r="S150" s="88"/>
    </row>
    <row r="151" spans="19:19" ht="15.6" customHeight="1">
      <c r="S151" s="88"/>
    </row>
    <row r="152" spans="19:19" ht="15.6" customHeight="1">
      <c r="S152" s="88"/>
    </row>
    <row r="153" spans="19:19" ht="15.6" customHeight="1">
      <c r="S153" s="88"/>
    </row>
    <row r="154" spans="19:19" ht="15.6" customHeight="1">
      <c r="S154" s="88"/>
    </row>
    <row r="155" spans="19:19" ht="15.6" customHeight="1">
      <c r="S155" s="88"/>
    </row>
    <row r="156" spans="19:19" ht="15.6" customHeight="1">
      <c r="S156" s="88"/>
    </row>
    <row r="157" spans="19:19" ht="15.6" customHeight="1">
      <c r="S157" s="88"/>
    </row>
    <row r="158" spans="19:19" ht="15.6" customHeight="1">
      <c r="S158" s="88"/>
    </row>
    <row r="159" spans="19:19" ht="15.6" customHeight="1">
      <c r="S159" s="88"/>
    </row>
    <row r="160" spans="19:19" ht="15.6" customHeight="1">
      <c r="S160" s="88"/>
    </row>
    <row r="161" spans="19:19" ht="15.6" customHeight="1">
      <c r="S161" s="88"/>
    </row>
    <row r="162" spans="19:19" ht="15.6" customHeight="1">
      <c r="S162" s="88"/>
    </row>
    <row r="163" spans="19:19" ht="15.6" customHeight="1">
      <c r="S163" s="88"/>
    </row>
    <row r="164" spans="19:19" ht="15.6" customHeight="1">
      <c r="S164" s="88"/>
    </row>
    <row r="165" spans="19:19" ht="15.6" customHeight="1">
      <c r="S165" s="88"/>
    </row>
    <row r="166" spans="19:19" ht="15.6" customHeight="1">
      <c r="S166" s="88"/>
    </row>
    <row r="167" spans="19:19" ht="15.6" customHeight="1">
      <c r="S167" s="88"/>
    </row>
    <row r="168" spans="19:19" ht="15.6" customHeight="1">
      <c r="S168" s="88"/>
    </row>
    <row r="169" spans="19:19" ht="15.6" customHeight="1">
      <c r="S169" s="88"/>
    </row>
    <row r="170" spans="19:19" ht="15.6" customHeight="1">
      <c r="S170" s="88"/>
    </row>
    <row r="171" spans="19:19" ht="15.6" customHeight="1">
      <c r="S171" s="88"/>
    </row>
    <row r="172" spans="19:19" ht="15.6" customHeight="1">
      <c r="S172" s="88"/>
    </row>
    <row r="173" spans="19:19" ht="15.6" customHeight="1">
      <c r="S173" s="88"/>
    </row>
    <row r="174" spans="19:19" ht="15.6" customHeight="1">
      <c r="S174" s="88"/>
    </row>
    <row r="175" spans="19:19" ht="15.6" customHeight="1">
      <c r="S175" s="88"/>
    </row>
    <row r="176" spans="19:19" ht="15.6" customHeight="1">
      <c r="S176" s="88"/>
    </row>
    <row r="177" spans="19:19" ht="15.6" customHeight="1">
      <c r="S177" s="88"/>
    </row>
    <row r="178" spans="19:19" ht="15.6" customHeight="1">
      <c r="S178" s="88"/>
    </row>
    <row r="179" spans="19:19" ht="15.6" customHeight="1">
      <c r="S179" s="88"/>
    </row>
    <row r="180" spans="19:19" ht="15.6" customHeight="1">
      <c r="S180" s="88"/>
    </row>
    <row r="181" spans="19:19" ht="15.6" customHeight="1">
      <c r="S181" s="88"/>
    </row>
    <row r="182" spans="19:19" ht="15.6" customHeight="1">
      <c r="S182" s="88"/>
    </row>
    <row r="183" spans="19:19" ht="15.6" customHeight="1">
      <c r="S183" s="88"/>
    </row>
    <row r="184" spans="19:19" ht="15.6" customHeight="1">
      <c r="S184" s="88"/>
    </row>
    <row r="185" spans="19:19" ht="15.6" customHeight="1">
      <c r="S185" s="88"/>
    </row>
    <row r="186" spans="19:19" ht="15.6" customHeight="1">
      <c r="S186" s="88"/>
    </row>
    <row r="187" spans="19:19" ht="15.6" customHeight="1">
      <c r="S187" s="88"/>
    </row>
    <row r="188" spans="19:19" ht="15.6" customHeight="1">
      <c r="S188" s="88"/>
    </row>
    <row r="189" spans="19:19" ht="15.6" customHeight="1">
      <c r="S189" s="88"/>
    </row>
    <row r="190" spans="19:19" ht="15.6" customHeight="1">
      <c r="S190" s="88"/>
    </row>
    <row r="191" spans="19:19" ht="15.6" customHeight="1">
      <c r="S191" s="88"/>
    </row>
    <row r="192" spans="19:19" ht="15.6" customHeight="1">
      <c r="S192" s="88"/>
    </row>
    <row r="193" spans="19:19" ht="15.6" customHeight="1">
      <c r="S193" s="88"/>
    </row>
    <row r="194" spans="19:19" ht="15.6" customHeight="1">
      <c r="S194" s="88"/>
    </row>
    <row r="195" spans="19:19" ht="15.6" customHeight="1">
      <c r="S195" s="88"/>
    </row>
    <row r="196" spans="19:19" ht="15.6" customHeight="1">
      <c r="S196" s="88"/>
    </row>
    <row r="197" spans="19:19" ht="15.6" customHeight="1">
      <c r="S197" s="88"/>
    </row>
    <row r="198" spans="19:19" ht="15.6" customHeight="1">
      <c r="S198" s="88"/>
    </row>
    <row r="199" spans="19:19" ht="15.6" customHeight="1">
      <c r="S199" s="88"/>
    </row>
    <row r="200" spans="19:19" ht="15.6" customHeight="1">
      <c r="S200" s="88"/>
    </row>
    <row r="201" spans="19:19" ht="15.6" customHeight="1">
      <c r="S201" s="88"/>
    </row>
    <row r="202" spans="19:19" ht="15.6" customHeight="1">
      <c r="S202" s="88"/>
    </row>
    <row r="203" spans="19:19" ht="15.6" customHeight="1">
      <c r="S203" s="88"/>
    </row>
    <row r="204" spans="19:19" ht="15.6" customHeight="1">
      <c r="S204" s="88"/>
    </row>
    <row r="205" spans="19:19" ht="15.6" customHeight="1">
      <c r="S205" s="88"/>
    </row>
    <row r="206" spans="19:19" ht="15.6" customHeight="1">
      <c r="S206" s="88"/>
    </row>
    <row r="207" spans="19:19" ht="15.6" customHeight="1">
      <c r="S207" s="88"/>
    </row>
    <row r="208" spans="19:19" ht="15.6" customHeight="1">
      <c r="S208" s="88"/>
    </row>
    <row r="209" spans="19:19" ht="15.6" customHeight="1">
      <c r="S209" s="88"/>
    </row>
    <row r="210" spans="19:19" ht="15.6" customHeight="1">
      <c r="S210" s="88"/>
    </row>
    <row r="211" spans="19:19" ht="15.6" customHeight="1">
      <c r="S211" s="88"/>
    </row>
    <row r="212" spans="19:19" ht="15.6" customHeight="1">
      <c r="S212" s="88"/>
    </row>
    <row r="213" spans="19:19" ht="15.6" customHeight="1">
      <c r="S213" s="88"/>
    </row>
    <row r="214" spans="19:19" ht="15.6" customHeight="1">
      <c r="S214" s="88"/>
    </row>
    <row r="215" spans="19:19" ht="15.6" customHeight="1">
      <c r="S215" s="88"/>
    </row>
    <row r="216" spans="19:19" ht="15.6" customHeight="1">
      <c r="S216" s="88"/>
    </row>
    <row r="217" spans="19:19" ht="15.6" customHeight="1">
      <c r="S217" s="88"/>
    </row>
    <row r="218" spans="19:19" ht="15.6" customHeight="1">
      <c r="S218" s="88"/>
    </row>
    <row r="219" spans="19:19" ht="15.6" customHeight="1">
      <c r="S219" s="88"/>
    </row>
    <row r="220" spans="19:19" ht="15.6" customHeight="1">
      <c r="S220" s="88"/>
    </row>
    <row r="221" spans="19:19" ht="15.6" customHeight="1">
      <c r="S221" s="88"/>
    </row>
    <row r="222" spans="19:19" ht="15.6" customHeight="1">
      <c r="S222" s="88"/>
    </row>
    <row r="223" spans="19:19" ht="15.6" customHeight="1">
      <c r="S223" s="88"/>
    </row>
    <row r="224" spans="19:19" ht="15.6" customHeight="1">
      <c r="S224" s="88"/>
    </row>
    <row r="225" spans="19:19" ht="15.6" customHeight="1">
      <c r="S225" s="88"/>
    </row>
    <row r="226" spans="19:19" ht="15.6" customHeight="1">
      <c r="S226" s="88"/>
    </row>
    <row r="227" spans="19:19" ht="15.6" customHeight="1">
      <c r="S227" s="88"/>
    </row>
    <row r="228" spans="19:19" ht="15.6" customHeight="1">
      <c r="S228" s="88"/>
    </row>
    <row r="229" spans="19:19" ht="15.6" customHeight="1">
      <c r="S229" s="88"/>
    </row>
    <row r="230" spans="19:19" ht="15.6" customHeight="1">
      <c r="S230" s="88"/>
    </row>
    <row r="231" spans="19:19" ht="15.6" customHeight="1">
      <c r="S231" s="88"/>
    </row>
    <row r="232" spans="19:19" ht="15.6" customHeight="1">
      <c r="S232" s="88"/>
    </row>
    <row r="233" spans="19:19" ht="15.6" customHeight="1">
      <c r="S233" s="88"/>
    </row>
    <row r="234" spans="19:19" ht="15.6" customHeight="1">
      <c r="S234" s="88"/>
    </row>
    <row r="235" spans="19:19" ht="15.6" customHeight="1">
      <c r="S235" s="88"/>
    </row>
    <row r="236" spans="19:19" ht="15.6" customHeight="1">
      <c r="S236" s="88"/>
    </row>
    <row r="237" spans="19:19" ht="15.6" customHeight="1">
      <c r="S237" s="88"/>
    </row>
    <row r="238" spans="19:19" ht="15.6" customHeight="1">
      <c r="S238" s="88"/>
    </row>
    <row r="239" spans="19:19" ht="15.6" customHeight="1">
      <c r="S239" s="88"/>
    </row>
    <row r="240" spans="19:19" ht="15.6" customHeight="1">
      <c r="S240" s="88"/>
    </row>
    <row r="241" spans="19:19" ht="15.6" customHeight="1">
      <c r="S241" s="88"/>
    </row>
    <row r="242" spans="19:19" ht="15.6" customHeight="1">
      <c r="S242" s="88"/>
    </row>
    <row r="243" spans="19:19" ht="15.6" customHeight="1">
      <c r="S243" s="88"/>
    </row>
    <row r="244" spans="19:19" ht="15.6" customHeight="1">
      <c r="S244" s="88"/>
    </row>
    <row r="245" spans="19:19" ht="15.6" customHeight="1">
      <c r="S245" s="88"/>
    </row>
    <row r="246" spans="19:19" ht="15.6" customHeight="1">
      <c r="S246" s="88"/>
    </row>
    <row r="247" spans="19:19" ht="15.6" customHeight="1">
      <c r="S247" s="88"/>
    </row>
    <row r="248" spans="19:19" ht="15.6" customHeight="1">
      <c r="S248" s="88"/>
    </row>
    <row r="249" spans="19:19" ht="15.6" customHeight="1">
      <c r="S249" s="88"/>
    </row>
    <row r="250" spans="19:19" ht="15.6" customHeight="1">
      <c r="S250" s="88"/>
    </row>
    <row r="251" spans="19:19" ht="15.6" customHeight="1">
      <c r="S251" s="88"/>
    </row>
    <row r="252" spans="19:19" ht="15.6" customHeight="1">
      <c r="S252" s="88"/>
    </row>
    <row r="253" spans="19:19" ht="15.6" customHeight="1">
      <c r="S253" s="88"/>
    </row>
    <row r="254" spans="19:19" ht="15.6" customHeight="1">
      <c r="S254" s="88"/>
    </row>
    <row r="255" spans="19:19" ht="15.6" customHeight="1">
      <c r="S255" s="88"/>
    </row>
    <row r="256" spans="19:19" ht="15.6" customHeight="1">
      <c r="S256" s="88"/>
    </row>
    <row r="257" spans="19:19" ht="15.6" customHeight="1">
      <c r="S257" s="88"/>
    </row>
    <row r="258" spans="19:19" ht="15.6" customHeight="1">
      <c r="S258" s="88"/>
    </row>
    <row r="259" spans="19:19" ht="15.6" customHeight="1">
      <c r="S259" s="88"/>
    </row>
    <row r="260" spans="19:19" ht="15.6" customHeight="1">
      <c r="S260" s="88"/>
    </row>
    <row r="261" spans="19:19" ht="15.6" customHeight="1">
      <c r="S261" s="88"/>
    </row>
    <row r="262" spans="19:19" ht="15.6" customHeight="1">
      <c r="S262" s="88"/>
    </row>
    <row r="263" spans="19:19" ht="15.6" customHeight="1">
      <c r="S263" s="88"/>
    </row>
    <row r="264" spans="19:19" ht="15.6" customHeight="1">
      <c r="S264" s="88"/>
    </row>
    <row r="265" spans="19:19" ht="15.6" customHeight="1">
      <c r="S265" s="88"/>
    </row>
    <row r="266" spans="19:19" ht="15.6" customHeight="1">
      <c r="S266" s="88"/>
    </row>
    <row r="267" spans="19:19" ht="15.6" customHeight="1">
      <c r="S267" s="88"/>
    </row>
    <row r="268" spans="19:19" ht="15.6" customHeight="1">
      <c r="S268" s="88"/>
    </row>
    <row r="269" spans="19:19" ht="15.6" customHeight="1">
      <c r="S269" s="88"/>
    </row>
    <row r="270" spans="19:19" ht="15.6" customHeight="1">
      <c r="S270" s="88"/>
    </row>
    <row r="271" spans="19:19" ht="15.6" customHeight="1">
      <c r="S271" s="88"/>
    </row>
    <row r="272" spans="19:19" ht="15.6" customHeight="1">
      <c r="S272" s="88"/>
    </row>
    <row r="273" spans="19:19" ht="15.6" customHeight="1">
      <c r="S273" s="88"/>
    </row>
    <row r="274" spans="19:19" ht="15.6" customHeight="1">
      <c r="S274" s="88"/>
    </row>
    <row r="275" spans="19:19" ht="15.6" customHeight="1">
      <c r="S275" s="88"/>
    </row>
    <row r="276" spans="19:19" ht="15.6" customHeight="1">
      <c r="S276" s="88"/>
    </row>
    <row r="277" spans="19:19" ht="15.6" customHeight="1">
      <c r="S277" s="88"/>
    </row>
    <row r="278" spans="19:19" ht="15.6" customHeight="1">
      <c r="S278" s="88"/>
    </row>
    <row r="279" spans="19:19" ht="15.6" customHeight="1">
      <c r="S279" s="88"/>
    </row>
    <row r="280" spans="19:19" ht="15.6" customHeight="1">
      <c r="S280" s="88"/>
    </row>
    <row r="281" spans="19:19" ht="15.6" customHeight="1">
      <c r="S281" s="88"/>
    </row>
    <row r="282" spans="19:19" ht="15.6" customHeight="1">
      <c r="S282" s="88"/>
    </row>
    <row r="283" spans="19:19" ht="15.6" customHeight="1">
      <c r="S283" s="88"/>
    </row>
    <row r="284" spans="19:19" ht="15.6" customHeight="1">
      <c r="S284" s="88"/>
    </row>
    <row r="285" spans="19:19" ht="15.6" customHeight="1">
      <c r="S285" s="88"/>
    </row>
    <row r="286" spans="19:19" ht="15.6" customHeight="1">
      <c r="S286" s="88"/>
    </row>
    <row r="287" spans="19:19" ht="15.6" customHeight="1">
      <c r="S287" s="88"/>
    </row>
    <row r="288" spans="19:19" ht="15.6" customHeight="1">
      <c r="S288" s="88"/>
    </row>
    <row r="289" spans="19:19" ht="15.6" customHeight="1">
      <c r="S289" s="88"/>
    </row>
    <row r="290" spans="19:19" ht="15.6" customHeight="1">
      <c r="S290" s="88"/>
    </row>
    <row r="291" spans="19:19" ht="15.6" customHeight="1">
      <c r="S291" s="88"/>
    </row>
    <row r="292" spans="19:19" ht="15.6" customHeight="1">
      <c r="S292" s="88"/>
    </row>
    <row r="293" spans="19:19" ht="15.6" customHeight="1">
      <c r="S293" s="88"/>
    </row>
    <row r="294" spans="19:19" ht="15.6" customHeight="1">
      <c r="S294" s="88"/>
    </row>
    <row r="295" spans="19:19" ht="15.6" customHeight="1">
      <c r="S295" s="88"/>
    </row>
    <row r="296" spans="19:19" ht="15.6" customHeight="1">
      <c r="S296" s="88"/>
    </row>
    <row r="297" spans="19:19" ht="15.6" customHeight="1">
      <c r="S297" s="88"/>
    </row>
    <row r="298" spans="19:19" ht="15.6" customHeight="1">
      <c r="S298" s="88"/>
    </row>
    <row r="299" spans="19:19" ht="15.6" customHeight="1">
      <c r="S299" s="88"/>
    </row>
    <row r="300" spans="19:19" ht="15.6" customHeight="1">
      <c r="S300" s="88"/>
    </row>
    <row r="301" spans="19:19" ht="15.6" customHeight="1">
      <c r="S301" s="88"/>
    </row>
    <row r="302" spans="19:19" ht="15.6" customHeight="1">
      <c r="S302" s="88"/>
    </row>
    <row r="303" spans="19:19" ht="15.6" customHeight="1">
      <c r="S303" s="88"/>
    </row>
    <row r="304" spans="19:19" ht="15.6" customHeight="1">
      <c r="S304" s="88"/>
    </row>
    <row r="305" spans="19:19" ht="15.6" customHeight="1">
      <c r="S305" s="88"/>
    </row>
    <row r="306" spans="19:19" ht="15.6" customHeight="1">
      <c r="S306" s="88"/>
    </row>
    <row r="307" spans="19:19" ht="15.6" customHeight="1">
      <c r="S307" s="88"/>
    </row>
    <row r="308" spans="19:19" ht="15.6" customHeight="1">
      <c r="S308" s="88"/>
    </row>
    <row r="309" spans="19:19" ht="15.6" customHeight="1">
      <c r="S309" s="88"/>
    </row>
    <row r="310" spans="19:19" ht="15.6" customHeight="1">
      <c r="S310" s="88"/>
    </row>
    <row r="311" spans="19:19" ht="15.6" customHeight="1">
      <c r="S311" s="88"/>
    </row>
    <row r="312" spans="19:19" ht="15.6" customHeight="1">
      <c r="S312" s="88"/>
    </row>
    <row r="313" spans="19:19" ht="15.6" customHeight="1">
      <c r="S313" s="88"/>
    </row>
    <row r="314" spans="19:19" ht="15.6" customHeight="1">
      <c r="S314" s="88"/>
    </row>
    <row r="315" spans="19:19" ht="15.6" customHeight="1">
      <c r="S315" s="88"/>
    </row>
    <row r="316" spans="19:19" ht="15.6" customHeight="1">
      <c r="S316" s="88"/>
    </row>
    <row r="317" spans="19:19" ht="15.6" customHeight="1">
      <c r="S317" s="88"/>
    </row>
    <row r="318" spans="19:19" ht="15.6" customHeight="1">
      <c r="S318" s="88"/>
    </row>
    <row r="319" spans="19:19" ht="15.6" customHeight="1">
      <c r="S319" s="88"/>
    </row>
    <row r="320" spans="19:19" ht="15.6" customHeight="1">
      <c r="S320" s="88"/>
    </row>
    <row r="321" spans="19:19" ht="15.6" customHeight="1">
      <c r="S321" s="88"/>
    </row>
    <row r="322" spans="19:19" ht="15.6" customHeight="1">
      <c r="S322" s="88"/>
    </row>
    <row r="323" spans="19:19" ht="15.6" customHeight="1">
      <c r="S323" s="88"/>
    </row>
    <row r="324" spans="19:19" ht="15.6" customHeight="1">
      <c r="S324" s="88"/>
    </row>
    <row r="325" spans="19:19" ht="15.6" customHeight="1">
      <c r="S325" s="88"/>
    </row>
    <row r="326" spans="19:19" ht="15.6" customHeight="1">
      <c r="S326" s="88"/>
    </row>
    <row r="327" spans="19:19" ht="15.6" customHeight="1">
      <c r="S327" s="88"/>
    </row>
    <row r="328" spans="19:19" ht="15.6" customHeight="1">
      <c r="S328" s="88"/>
    </row>
    <row r="329" spans="19:19" ht="15.6" customHeight="1">
      <c r="S329" s="88"/>
    </row>
    <row r="330" spans="19:19" ht="15.6" customHeight="1">
      <c r="S330" s="88"/>
    </row>
    <row r="331" spans="19:19" ht="15.6" customHeight="1">
      <c r="S331" s="88"/>
    </row>
    <row r="332" spans="19:19" ht="15.6" customHeight="1">
      <c r="S332" s="88"/>
    </row>
    <row r="333" spans="19:19" ht="15.6" customHeight="1">
      <c r="S333" s="88"/>
    </row>
    <row r="334" spans="19:19" ht="15.6" customHeight="1">
      <c r="S334" s="88"/>
    </row>
    <row r="335" spans="19:19" ht="15.6" customHeight="1">
      <c r="S335" s="88"/>
    </row>
    <row r="336" spans="19:19" ht="15.6" customHeight="1">
      <c r="S336" s="88"/>
    </row>
    <row r="337" spans="19:19" ht="15.6" customHeight="1">
      <c r="S337" s="88"/>
    </row>
    <row r="338" spans="19:19" ht="15.6" customHeight="1">
      <c r="S338" s="88"/>
    </row>
    <row r="339" spans="19:19" ht="15.6" customHeight="1">
      <c r="S339" s="88"/>
    </row>
    <row r="340" spans="19:19" ht="15.6" customHeight="1">
      <c r="S340" s="88"/>
    </row>
    <row r="341" spans="19:19" ht="15.6" customHeight="1">
      <c r="S341" s="88"/>
    </row>
    <row r="342" spans="19:19" ht="15.6" customHeight="1">
      <c r="S342" s="88"/>
    </row>
    <row r="343" spans="19:19" ht="15.6" customHeight="1">
      <c r="S343" s="88"/>
    </row>
    <row r="344" spans="19:19" ht="15.6" customHeight="1">
      <c r="S344" s="88"/>
    </row>
    <row r="345" spans="19:19" ht="15.6" customHeight="1">
      <c r="S345" s="88"/>
    </row>
    <row r="346" spans="19:19" ht="15.6" customHeight="1">
      <c r="S346" s="88"/>
    </row>
    <row r="347" spans="19:19" ht="15.6" customHeight="1">
      <c r="S347" s="88"/>
    </row>
    <row r="348" spans="19:19" ht="15.6" customHeight="1">
      <c r="S348" s="88"/>
    </row>
    <row r="349" spans="19:19" ht="15.6" customHeight="1">
      <c r="S349" s="88"/>
    </row>
    <row r="350" spans="19:19" ht="15.6" customHeight="1">
      <c r="S350" s="88"/>
    </row>
    <row r="351" spans="19:19" ht="15.6" customHeight="1">
      <c r="S351" s="88"/>
    </row>
    <row r="352" spans="19:19" ht="15.6" customHeight="1">
      <c r="S352" s="88"/>
    </row>
    <row r="353" spans="19:19" ht="15.6" customHeight="1">
      <c r="S353" s="88"/>
    </row>
    <row r="354" spans="19:19" ht="15.6" customHeight="1">
      <c r="S354" s="88"/>
    </row>
    <row r="355" spans="19:19" ht="15.6" customHeight="1">
      <c r="S355" s="88"/>
    </row>
    <row r="356" spans="19:19" ht="15.6" customHeight="1">
      <c r="S356" s="88"/>
    </row>
    <row r="357" spans="19:19" ht="15.6" customHeight="1">
      <c r="S357" s="88"/>
    </row>
    <row r="358" spans="19:19" ht="15.6" customHeight="1">
      <c r="S358" s="88"/>
    </row>
    <row r="359" spans="19:19" ht="15.6" customHeight="1">
      <c r="S359" s="88"/>
    </row>
    <row r="360" spans="19:19" ht="15.6" customHeight="1">
      <c r="S360" s="88"/>
    </row>
    <row r="361" spans="19:19" ht="15.6" customHeight="1">
      <c r="S361" s="88"/>
    </row>
    <row r="362" spans="19:19" ht="15.6" customHeight="1">
      <c r="S362" s="88"/>
    </row>
    <row r="363" spans="19:19" ht="15.6" customHeight="1">
      <c r="S363" s="88"/>
    </row>
    <row r="364" spans="19:19" ht="15.6" customHeight="1">
      <c r="S364" s="88"/>
    </row>
    <row r="365" spans="19:19" ht="15.6" customHeight="1">
      <c r="S365" s="88"/>
    </row>
    <row r="366" spans="19:19" ht="15.6" customHeight="1">
      <c r="S366" s="88"/>
    </row>
    <row r="367" spans="19:19" ht="15.6" customHeight="1">
      <c r="S367" s="88"/>
    </row>
    <row r="368" spans="19:19" ht="15.6" customHeight="1">
      <c r="S368" s="88"/>
    </row>
    <row r="369" spans="19:19" ht="15.6" customHeight="1">
      <c r="S369" s="88"/>
    </row>
    <row r="370" spans="19:19" ht="15.6" customHeight="1">
      <c r="S370" s="88"/>
    </row>
    <row r="371" spans="19:19" ht="15.6" customHeight="1">
      <c r="S371" s="88"/>
    </row>
    <row r="372" spans="19:19" ht="15.6" customHeight="1">
      <c r="S372" s="88"/>
    </row>
    <row r="373" spans="19:19" ht="15.6" customHeight="1">
      <c r="S373" s="88"/>
    </row>
    <row r="374" spans="19:19" ht="15.6" customHeight="1">
      <c r="S374" s="88"/>
    </row>
    <row r="375" spans="19:19" ht="15.6" customHeight="1">
      <c r="S375" s="88"/>
    </row>
    <row r="376" spans="19:19" ht="15.6" customHeight="1">
      <c r="S376" s="88"/>
    </row>
    <row r="377" spans="19:19" ht="15.6" customHeight="1">
      <c r="S377" s="88"/>
    </row>
    <row r="378" spans="19:19" ht="15.6" customHeight="1">
      <c r="S378" s="88"/>
    </row>
    <row r="379" spans="19:19" ht="15.6" customHeight="1">
      <c r="S379" s="88"/>
    </row>
    <row r="380" spans="19:19" ht="15.6" customHeight="1">
      <c r="S380" s="88"/>
    </row>
    <row r="381" spans="19:19" ht="15.6" customHeight="1">
      <c r="S381" s="88"/>
    </row>
    <row r="473" spans="12:12" ht="15.6" customHeight="1">
      <c r="L473" s="74" t="str">
        <f>Geburtstage!F3&amp;" ("</f>
        <v>Person 1 (</v>
      </c>
    </row>
  </sheetData>
  <sheetProtection sheet="1" selectLockedCells="1"/>
  <sortState xmlns:xlrd2="http://schemas.microsoft.com/office/spreadsheetml/2017/richdata2" ref="F3:F37">
    <sortCondition ref="F3:F37"/>
  </sortState>
  <mergeCells count="6">
    <mergeCell ref="D86:E86"/>
    <mergeCell ref="D87:E87"/>
    <mergeCell ref="D88:E88"/>
    <mergeCell ref="D89:E89"/>
    <mergeCell ref="G86:K86"/>
    <mergeCell ref="G87:K87"/>
  </mergeCells>
  <conditionalFormatting sqref="G3:G72">
    <cfRule type="expression" dxfId="30" priority="1">
      <formula>$M$1=""</formula>
    </cfRule>
    <cfRule type="expression" dxfId="29" priority="2">
      <formula>AND(MONTH($M$1)=MONTH($G3),DAY($M$1)=DAY($G3))</formula>
    </cfRule>
  </conditionalFormatting>
  <conditionalFormatting sqref="V3:W12">
    <cfRule type="expression" dxfId="28" priority="6">
      <formula>"&gt;"""</formula>
    </cfRule>
  </conditionalFormatting>
  <pageMargins left="0.59027777777777779" right="0.59027777777777779" top="0.59027777777777779" bottom="0.59027777777777779" header="0.51180555555555551" footer="0.51180555555555551"/>
  <pageSetup paperSize="9" scale="46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B1:AC58"/>
  <sheetViews>
    <sheetView showGridLines="0" zoomScale="85" zoomScaleNormal="85" workbookViewId="0">
      <pane xSplit="19" ySplit="12" topLeftCell="T13" activePane="bottomRight" state="frozen"/>
      <selection pane="topRight" activeCell="T1" sqref="T1"/>
      <selection pane="bottomLeft" activeCell="A13" sqref="A13"/>
      <selection pane="bottomRight" activeCell="L1" sqref="L1"/>
    </sheetView>
  </sheetViews>
  <sheetFormatPr baseColWidth="10" defaultColWidth="11.5703125" defaultRowHeight="12.75"/>
  <cols>
    <col min="1" max="1" width="18.5703125" style="30" customWidth="1"/>
    <col min="2" max="2" width="13.42578125" style="30" hidden="1" customWidth="1"/>
    <col min="3" max="3" width="132.42578125" style="30" hidden="1" customWidth="1"/>
    <col min="4" max="4" width="14.28515625" style="30" customWidth="1"/>
    <col min="5" max="5" width="55.7109375" style="30" customWidth="1"/>
    <col min="6" max="6" width="11.7109375" style="37" customWidth="1"/>
    <col min="7" max="7" width="55.7109375" style="37" customWidth="1"/>
    <col min="8" max="8" width="11.7109375" style="37" customWidth="1"/>
    <col min="9" max="9" width="55.7109375" style="37" customWidth="1"/>
    <col min="10" max="10" width="11.7109375" style="37" customWidth="1"/>
    <col min="11" max="11" width="6.42578125" style="66" customWidth="1"/>
    <col min="12" max="12" width="16.5703125" style="30" customWidth="1"/>
    <col min="13" max="13" width="26.140625" style="30" customWidth="1"/>
    <col min="14" max="14" width="6.42578125" style="30" customWidth="1"/>
    <col min="15" max="15" width="11.5703125" style="31"/>
    <col min="16" max="16" width="55.7109375" style="31" hidden="1" customWidth="1"/>
    <col min="17" max="18" width="55.7109375" style="30" hidden="1" customWidth="1"/>
    <col min="19" max="19" width="13.140625" style="30" customWidth="1"/>
    <col min="20" max="21" width="11.5703125" style="66" customWidth="1"/>
    <col min="22" max="27" width="11.5703125" style="30"/>
    <col min="28" max="28" width="15.7109375" style="30" customWidth="1"/>
    <col min="29" max="29" width="40.5703125" style="30" customWidth="1"/>
    <col min="30" max="30" width="31.85546875" style="30" customWidth="1"/>
    <col min="31" max="16384" width="11.5703125" style="30"/>
  </cols>
  <sheetData>
    <row r="1" spans="2:25" ht="42.75" customHeight="1" thickBot="1">
      <c r="C1" s="39"/>
      <c r="D1" s="38" t="s">
        <v>5</v>
      </c>
      <c r="E1" s="121">
        <f ca="1">Kalender!B2</f>
        <v>2024</v>
      </c>
      <c r="F1" s="121"/>
      <c r="G1" s="511">
        <f ca="1">DOLLAR((DAY(MINUTE(E1/38)/2+55)&amp;".4."&amp;E1)/7,)*7-6</f>
        <v>45382</v>
      </c>
      <c r="H1" s="119"/>
      <c r="I1" s="119"/>
      <c r="J1" s="119"/>
      <c r="L1" s="580"/>
      <c r="M1" s="581" t="s">
        <v>259</v>
      </c>
    </row>
    <row r="2" spans="2:25" ht="16.5" thickBot="1">
      <c r="B2" s="32"/>
      <c r="C2" s="33" t="s">
        <v>6</v>
      </c>
      <c r="D2" s="563" t="s">
        <v>4</v>
      </c>
      <c r="E2" s="564" t="s">
        <v>255</v>
      </c>
      <c r="F2" s="565" t="s">
        <v>12</v>
      </c>
      <c r="G2" s="565" t="s">
        <v>256</v>
      </c>
      <c r="H2" s="565" t="s">
        <v>12</v>
      </c>
      <c r="I2" s="565" t="s">
        <v>257</v>
      </c>
      <c r="J2" s="565" t="s">
        <v>12</v>
      </c>
      <c r="K2" s="295"/>
      <c r="L2" s="753" t="s">
        <v>282</v>
      </c>
      <c r="M2" s="754"/>
      <c r="N2" s="40"/>
      <c r="O2" s="34"/>
      <c r="P2" s="34"/>
    </row>
    <row r="3" spans="2:25" ht="19.5" customHeight="1" thickBot="1">
      <c r="B3" s="123"/>
      <c r="C3" s="571" t="str">
        <f>IF(AND(P3&gt;"",Q3&gt;""),P3&amp;" / "&amp;Q3,IF(P3&gt;"",P3,""))</f>
        <v>Feststehende langfristige Termine</v>
      </c>
      <c r="D3" s="760" t="s">
        <v>142</v>
      </c>
      <c r="E3" s="761"/>
      <c r="F3" s="761"/>
      <c r="G3" s="761"/>
      <c r="H3" s="761"/>
      <c r="I3" s="761"/>
      <c r="J3" s="762"/>
      <c r="K3" s="295"/>
      <c r="L3" s="755" t="s">
        <v>283</v>
      </c>
      <c r="M3" s="756"/>
      <c r="P3" s="40" t="str">
        <f>IF(D3="","",IF(F3="",D3,D3&amp;"  "&amp;F3&amp;" Uhr"))</f>
        <v>Feststehende langfristige Termine</v>
      </c>
      <c r="Q3" s="40" t="str">
        <f>IF(G3="","",IF(H3="",G3,G3&amp;"  "&amp;H3&amp;" Uhr"))</f>
        <v/>
      </c>
    </row>
    <row r="4" spans="2:25" ht="15.75" customHeight="1">
      <c r="B4" s="507" t="str">
        <f t="shared" ref="B4:B11" si="0">IF(AND(D4,E4=""),"",D4)</f>
        <v/>
      </c>
      <c r="C4" s="571" t="str">
        <f>IF(AND(P4&gt;"",Q4&gt;"",R4&gt;""),P4&amp;" / "&amp;Q4&amp;" / "&amp;R4,IF(AND(P4&gt;"",Q4&gt;""),P4&amp;" / "&amp;Q4,P4))</f>
        <v/>
      </c>
      <c r="D4" s="566"/>
      <c r="E4" s="606"/>
      <c r="F4" s="561"/>
      <c r="G4" s="617"/>
      <c r="H4" s="124"/>
      <c r="I4" s="617"/>
      <c r="J4" s="124"/>
      <c r="K4" s="295" t="str">
        <f t="shared" ref="K4:K40" ca="1" si="1">IF(OR(D4="",D4&gt;=TODAY()),"",1)</f>
        <v/>
      </c>
      <c r="P4" s="40" t="str">
        <f t="shared" ref="P4:P14" si="2">IF(E4="","",IF(F4="",E4,E4&amp;"  "&amp;F4&amp;" Uhr"))</f>
        <v/>
      </c>
      <c r="Q4" s="40" t="str">
        <f t="shared" ref="Q4:Q14" si="3">IF(G4="","",IF(H4="",G4,G4&amp;"  "&amp;H4&amp;" Uhr"))</f>
        <v/>
      </c>
      <c r="R4" s="40" t="str">
        <f>IF(I4="","",IF(J4="",I4,I4&amp;"  "&amp;J4&amp;" Uhr"))</f>
        <v/>
      </c>
      <c r="T4" s="66">
        <f ca="1">MONTH(TODAY())</f>
        <v>3</v>
      </c>
      <c r="U4" s="66">
        <f ca="1">DAY(TODAY())</f>
        <v>14</v>
      </c>
    </row>
    <row r="5" spans="2:25" ht="15.75" customHeight="1">
      <c r="B5" s="507" t="str">
        <f t="shared" si="0"/>
        <v/>
      </c>
      <c r="C5" s="571" t="str">
        <f t="shared" ref="C5:C11" si="4">IF(AND(P5&gt;"",Q5&gt;"",R5&gt;""),P5&amp;" / "&amp;Q5&amp;" / "&amp;R5,IF(AND(P5&gt;"",Q5&gt;""),P5&amp;" / "&amp;Q5,P5))</f>
        <v/>
      </c>
      <c r="D5" s="508"/>
      <c r="E5" s="607"/>
      <c r="F5" s="561"/>
      <c r="G5" s="617"/>
      <c r="H5" s="124"/>
      <c r="I5" s="617"/>
      <c r="J5" s="124"/>
      <c r="K5" s="295" t="str">
        <f t="shared" ca="1" si="1"/>
        <v/>
      </c>
      <c r="L5" s="765" t="s">
        <v>13</v>
      </c>
      <c r="M5" s="765"/>
      <c r="N5" s="40"/>
      <c r="O5" s="36"/>
      <c r="P5" s="40" t="str">
        <f t="shared" si="2"/>
        <v/>
      </c>
      <c r="Q5" s="40" t="str">
        <f t="shared" si="3"/>
        <v/>
      </c>
      <c r="R5" s="40" t="str">
        <f t="shared" ref="R5:R11" si="5">IF(I5="","",IF(J5="",I5,I5&amp;"  "&amp;J5&amp;" Uhr"))</f>
        <v/>
      </c>
    </row>
    <row r="6" spans="2:25" ht="15.75" customHeight="1">
      <c r="B6" s="507">
        <f t="shared" si="0"/>
        <v>45575</v>
      </c>
      <c r="C6" s="571" t="str">
        <f t="shared" si="4"/>
        <v>test</v>
      </c>
      <c r="D6" s="660">
        <v>45575</v>
      </c>
      <c r="E6" s="608" t="s">
        <v>272</v>
      </c>
      <c r="F6" s="562"/>
      <c r="G6" s="614"/>
      <c r="H6" s="118"/>
      <c r="I6" s="614"/>
      <c r="J6" s="118"/>
      <c r="K6" s="295" t="str">
        <f t="shared" ca="1" si="1"/>
        <v/>
      </c>
      <c r="L6" s="765"/>
      <c r="M6" s="765"/>
      <c r="N6" s="40"/>
      <c r="O6" s="36"/>
      <c r="P6" s="40" t="str">
        <f t="shared" si="2"/>
        <v>test</v>
      </c>
      <c r="Q6" s="40" t="str">
        <f t="shared" si="3"/>
        <v/>
      </c>
      <c r="R6" s="40" t="str">
        <f t="shared" si="5"/>
        <v/>
      </c>
    </row>
    <row r="7" spans="2:25" ht="15.75" customHeight="1">
      <c r="B7" s="507" t="str">
        <f t="shared" si="0"/>
        <v/>
      </c>
      <c r="C7" s="571" t="str">
        <f t="shared" si="4"/>
        <v/>
      </c>
      <c r="D7" s="660"/>
      <c r="E7" s="608"/>
      <c r="F7" s="562"/>
      <c r="G7" s="618"/>
      <c r="H7" s="118"/>
      <c r="I7" s="618"/>
      <c r="J7" s="118"/>
      <c r="K7" s="295" t="str">
        <f t="shared" ca="1" si="1"/>
        <v/>
      </c>
      <c r="L7" s="764" t="s">
        <v>14</v>
      </c>
      <c r="M7" s="764"/>
      <c r="N7" s="764"/>
      <c r="O7" s="764"/>
      <c r="P7" s="40" t="str">
        <f t="shared" si="2"/>
        <v/>
      </c>
      <c r="Q7" s="40" t="str">
        <f t="shared" si="3"/>
        <v/>
      </c>
      <c r="R7" s="40" t="str">
        <f t="shared" si="5"/>
        <v/>
      </c>
    </row>
    <row r="8" spans="2:25" ht="15.75" customHeight="1">
      <c r="B8" s="507" t="str">
        <f t="shared" si="0"/>
        <v/>
      </c>
      <c r="C8" s="571" t="str">
        <f t="shared" si="4"/>
        <v/>
      </c>
      <c r="D8" s="509">
        <v>45361</v>
      </c>
      <c r="E8" s="609"/>
      <c r="F8" s="510"/>
      <c r="G8" s="618"/>
      <c r="H8" s="118"/>
      <c r="I8" s="618"/>
      <c r="J8" s="118"/>
      <c r="K8" s="295">
        <f t="shared" ca="1" si="1"/>
        <v>1</v>
      </c>
      <c r="L8" s="764" t="s">
        <v>15</v>
      </c>
      <c r="M8" s="764"/>
      <c r="N8" s="764"/>
      <c r="O8" s="122"/>
      <c r="P8" s="40" t="str">
        <f t="shared" si="2"/>
        <v/>
      </c>
      <c r="Q8" s="40" t="str">
        <f t="shared" si="3"/>
        <v/>
      </c>
      <c r="R8" s="40" t="str">
        <f t="shared" si="5"/>
        <v/>
      </c>
    </row>
    <row r="9" spans="2:25" ht="15.75" customHeight="1">
      <c r="B9" s="507" t="str">
        <f t="shared" si="0"/>
        <v/>
      </c>
      <c r="C9" s="571" t="str">
        <f t="shared" si="4"/>
        <v/>
      </c>
      <c r="D9" s="509">
        <v>45362</v>
      </c>
      <c r="E9" s="609"/>
      <c r="F9" s="510"/>
      <c r="G9" s="619"/>
      <c r="H9" s="182"/>
      <c r="I9" s="619"/>
      <c r="J9" s="182"/>
      <c r="K9" s="295">
        <f t="shared" ca="1" si="1"/>
        <v>1</v>
      </c>
      <c r="L9" s="764" t="s">
        <v>16</v>
      </c>
      <c r="M9" s="764"/>
      <c r="N9" s="122"/>
      <c r="O9" s="122"/>
      <c r="P9" s="40" t="str">
        <f t="shared" si="2"/>
        <v/>
      </c>
      <c r="Q9" s="40" t="str">
        <f t="shared" si="3"/>
        <v/>
      </c>
      <c r="R9" s="40" t="str">
        <f t="shared" si="5"/>
        <v/>
      </c>
    </row>
    <row r="10" spans="2:25" ht="15.75" customHeight="1">
      <c r="B10" s="507" t="str">
        <f t="shared" si="0"/>
        <v/>
      </c>
      <c r="C10" s="571" t="str">
        <f t="shared" si="4"/>
        <v/>
      </c>
      <c r="D10" s="509"/>
      <c r="E10" s="609"/>
      <c r="F10" s="510"/>
      <c r="G10" s="617"/>
      <c r="H10" s="124"/>
      <c r="I10" s="617"/>
      <c r="J10" s="124"/>
      <c r="K10" s="295" t="str">
        <f t="shared" ca="1" si="1"/>
        <v/>
      </c>
      <c r="L10" s="43"/>
      <c r="M10" s="42"/>
      <c r="N10" s="40"/>
      <c r="O10" s="36"/>
      <c r="P10" s="40" t="str">
        <f t="shared" si="2"/>
        <v/>
      </c>
      <c r="Q10" s="40" t="str">
        <f t="shared" si="3"/>
        <v/>
      </c>
      <c r="R10" s="40" t="str">
        <f t="shared" si="5"/>
        <v/>
      </c>
    </row>
    <row r="11" spans="2:25" ht="15.75" customHeight="1" thickBot="1">
      <c r="B11" s="226" t="str">
        <f t="shared" si="0"/>
        <v/>
      </c>
      <c r="C11" s="571" t="str">
        <f t="shared" si="4"/>
        <v/>
      </c>
      <c r="D11" s="568"/>
      <c r="E11" s="610"/>
      <c r="F11" s="569"/>
      <c r="G11" s="620"/>
      <c r="H11" s="570"/>
      <c r="I11" s="620"/>
      <c r="J11" s="570"/>
      <c r="K11" s="295"/>
      <c r="L11" s="576" t="s">
        <v>56</v>
      </c>
      <c r="M11" s="576"/>
      <c r="N11" s="576"/>
      <c r="O11" s="576"/>
      <c r="P11" s="40" t="str">
        <f t="shared" si="2"/>
        <v/>
      </c>
      <c r="Q11" s="40"/>
      <c r="R11" s="40" t="str">
        <f t="shared" si="5"/>
        <v/>
      </c>
      <c r="X11" s="763"/>
      <c r="Y11" s="763"/>
    </row>
    <row r="12" spans="2:25" ht="19.5" customHeight="1" thickBot="1">
      <c r="B12" s="228"/>
      <c r="C12" s="567"/>
      <c r="D12" s="757" t="s">
        <v>143</v>
      </c>
      <c r="E12" s="758"/>
      <c r="F12" s="758"/>
      <c r="G12" s="758"/>
      <c r="H12" s="758"/>
      <c r="I12" s="758"/>
      <c r="J12" s="759"/>
      <c r="K12" s="295" t="str">
        <f t="shared" ca="1" si="1"/>
        <v/>
      </c>
      <c r="L12" s="576" t="s">
        <v>57</v>
      </c>
      <c r="M12" s="576"/>
      <c r="N12" s="576"/>
      <c r="O12" s="576"/>
      <c r="P12" s="40"/>
      <c r="Q12" s="40"/>
      <c r="X12" s="229"/>
      <c r="Y12" s="67"/>
    </row>
    <row r="13" spans="2:25" ht="15.75" customHeight="1">
      <c r="B13" s="227" t="str">
        <f t="shared" ref="B13:B32" si="6">IF(AND(D13,E13=""),"",D13)</f>
        <v/>
      </c>
      <c r="C13" s="571" t="str">
        <f>IF(AND(P13&gt;"",Q13&gt;"",R13&gt;""),P13&amp;" / "&amp;Q13&amp;" / "&amp;R13,IF(AND(P13&gt;"",Q13&gt;""),P13&amp;" / "&amp;Q13,P13))</f>
        <v/>
      </c>
      <c r="D13" s="657"/>
      <c r="E13" s="611"/>
      <c r="F13" s="124"/>
      <c r="G13" s="617"/>
      <c r="H13" s="124"/>
      <c r="I13" s="617"/>
      <c r="J13" s="124"/>
      <c r="K13" s="295" t="str">
        <f t="shared" ca="1" si="1"/>
        <v/>
      </c>
      <c r="L13" s="122"/>
      <c r="M13" s="41"/>
      <c r="N13" s="40"/>
      <c r="O13" s="36"/>
      <c r="P13" s="40" t="str">
        <f t="shared" si="2"/>
        <v/>
      </c>
      <c r="Q13" s="40" t="str">
        <f t="shared" si="3"/>
        <v/>
      </c>
      <c r="R13" s="40" t="str">
        <f t="shared" ref="R13:R14" si="7">IF(I13="","",IF(J13="",I13,I13&amp;"  "&amp;J13&amp;" Uhr"))</f>
        <v/>
      </c>
      <c r="Y13" s="67"/>
    </row>
    <row r="14" spans="2:25" ht="15.75" customHeight="1">
      <c r="B14" s="123" t="str">
        <f t="shared" si="6"/>
        <v/>
      </c>
      <c r="C14" s="571" t="str">
        <f t="shared" ref="C14:C57" si="8">IF(AND(P14&gt;"",Q14&gt;"",R14&gt;""),P14&amp;" / "&amp;Q14&amp;" / "&amp;R14,IF(AND(P14&gt;"",Q14&gt;""),P14&amp;" / "&amp;Q14,P14))</f>
        <v/>
      </c>
      <c r="D14" s="658"/>
      <c r="E14" s="612"/>
      <c r="F14" s="118"/>
      <c r="G14" s="614"/>
      <c r="H14" s="118"/>
      <c r="I14" s="614"/>
      <c r="J14" s="118"/>
      <c r="K14" s="295" t="str">
        <f t="shared" ca="1" si="1"/>
        <v/>
      </c>
      <c r="L14" s="122"/>
      <c r="M14" s="41"/>
      <c r="N14" s="40"/>
      <c r="O14" s="36"/>
      <c r="P14" s="40" t="str">
        <f t="shared" si="2"/>
        <v/>
      </c>
      <c r="Q14" s="40" t="str">
        <f t="shared" si="3"/>
        <v/>
      </c>
      <c r="R14" s="40" t="str">
        <f t="shared" si="7"/>
        <v/>
      </c>
      <c r="Y14" s="67"/>
    </row>
    <row r="15" spans="2:25" ht="15.75" customHeight="1">
      <c r="B15" s="123" t="str">
        <f t="shared" si="6"/>
        <v/>
      </c>
      <c r="C15" s="571" t="str">
        <f t="shared" si="8"/>
        <v/>
      </c>
      <c r="D15" s="658"/>
      <c r="E15" s="612"/>
      <c r="F15" s="118"/>
      <c r="G15" s="618"/>
      <c r="H15" s="118"/>
      <c r="I15" s="618"/>
      <c r="J15" s="118"/>
      <c r="K15" s="295" t="str">
        <f t="shared" ca="1" si="1"/>
        <v/>
      </c>
      <c r="L15" s="44"/>
      <c r="M15" s="41"/>
      <c r="N15" s="40"/>
      <c r="O15" s="36"/>
      <c r="P15" s="40" t="str">
        <f t="shared" ref="P15:P57" si="9">IF(E15="","",IF(F15="",E15,E15&amp;"  "&amp;F15&amp;" Uhr"))</f>
        <v/>
      </c>
      <c r="Q15" s="40" t="str">
        <f t="shared" ref="Q15:Q57" si="10">IF(G15="","",IF(H15="",G15,G15&amp;"  "&amp;H15&amp;" Uhr"))</f>
        <v/>
      </c>
      <c r="R15" s="40" t="str">
        <f t="shared" ref="R15:R57" si="11">IF(I15="","",IF(J15="",I15,I15&amp;"  "&amp;J15&amp;" Uhr"))</f>
        <v/>
      </c>
      <c r="Y15" s="67"/>
    </row>
    <row r="16" spans="2:25" ht="15.75" customHeight="1">
      <c r="B16" s="123">
        <f t="shared" si="6"/>
        <v>45359</v>
      </c>
      <c r="C16" s="571" t="str">
        <f t="shared" si="8"/>
        <v>Text 4 / Test 5</v>
      </c>
      <c r="D16" s="658">
        <v>45359</v>
      </c>
      <c r="E16" s="612" t="s">
        <v>260</v>
      </c>
      <c r="F16" s="118"/>
      <c r="G16" s="618" t="s">
        <v>281</v>
      </c>
      <c r="H16" s="118"/>
      <c r="I16" s="618"/>
      <c r="J16" s="118"/>
      <c r="K16" s="295">
        <f t="shared" ca="1" si="1"/>
        <v>1</v>
      </c>
      <c r="L16" s="40"/>
      <c r="M16" s="41"/>
      <c r="N16" s="40"/>
      <c r="O16" s="36"/>
      <c r="P16" s="40" t="str">
        <f t="shared" si="9"/>
        <v>Text 4</v>
      </c>
      <c r="Q16" s="40" t="str">
        <f t="shared" si="10"/>
        <v>Test 5</v>
      </c>
      <c r="R16" s="40" t="str">
        <f t="shared" si="11"/>
        <v/>
      </c>
      <c r="Y16" s="67"/>
    </row>
    <row r="17" spans="2:29" ht="15.75" customHeight="1">
      <c r="B17" s="123" t="str">
        <f t="shared" si="6"/>
        <v/>
      </c>
      <c r="C17" s="571" t="str">
        <f t="shared" si="8"/>
        <v/>
      </c>
      <c r="D17" s="658"/>
      <c r="E17" s="612"/>
      <c r="F17" s="118"/>
      <c r="G17" s="618"/>
      <c r="H17" s="118"/>
      <c r="I17" s="618"/>
      <c r="J17" s="118"/>
      <c r="K17" s="295" t="str">
        <f t="shared" ca="1" si="1"/>
        <v/>
      </c>
      <c r="L17" s="40"/>
      <c r="M17" s="41"/>
      <c r="N17" s="40"/>
      <c r="O17" s="36"/>
      <c r="P17" s="40" t="str">
        <f t="shared" si="9"/>
        <v/>
      </c>
      <c r="Q17" s="40" t="str">
        <f t="shared" si="10"/>
        <v/>
      </c>
      <c r="R17" s="40" t="str">
        <f t="shared" si="11"/>
        <v/>
      </c>
      <c r="Y17" s="67"/>
    </row>
    <row r="18" spans="2:29" ht="15.75" customHeight="1">
      <c r="B18" s="123" t="str">
        <f t="shared" si="6"/>
        <v/>
      </c>
      <c r="C18" s="571" t="str">
        <f t="shared" si="8"/>
        <v/>
      </c>
      <c r="D18" s="658"/>
      <c r="E18" s="612"/>
      <c r="F18" s="118"/>
      <c r="G18" s="618"/>
      <c r="H18" s="118"/>
      <c r="I18" s="618"/>
      <c r="J18" s="118"/>
      <c r="K18" s="295" t="str">
        <f t="shared" ca="1" si="1"/>
        <v/>
      </c>
      <c r="L18" s="40"/>
      <c r="M18" s="41"/>
      <c r="N18" s="40"/>
      <c r="O18" s="36"/>
      <c r="P18" s="40" t="str">
        <f t="shared" si="9"/>
        <v/>
      </c>
      <c r="Q18" s="40" t="str">
        <f t="shared" si="10"/>
        <v/>
      </c>
      <c r="R18" s="40" t="str">
        <f t="shared" si="11"/>
        <v/>
      </c>
      <c r="Y18" s="67"/>
    </row>
    <row r="19" spans="2:29" ht="15.75" customHeight="1">
      <c r="B19" s="123" t="str">
        <f t="shared" si="6"/>
        <v/>
      </c>
      <c r="C19" s="571" t="str">
        <f t="shared" si="8"/>
        <v/>
      </c>
      <c r="D19" s="658"/>
      <c r="E19" s="613"/>
      <c r="F19" s="181"/>
      <c r="G19" s="618"/>
      <c r="H19" s="118"/>
      <c r="I19" s="618"/>
      <c r="J19" s="118"/>
      <c r="K19" s="295" t="str">
        <f t="shared" ca="1" si="1"/>
        <v/>
      </c>
      <c r="L19" s="40"/>
      <c r="M19" s="41"/>
      <c r="N19" s="40"/>
      <c r="O19" s="36"/>
      <c r="P19" s="40" t="str">
        <f t="shared" si="9"/>
        <v/>
      </c>
      <c r="Q19" s="40" t="str">
        <f t="shared" si="10"/>
        <v/>
      </c>
      <c r="R19" s="40" t="str">
        <f t="shared" si="11"/>
        <v/>
      </c>
      <c r="Y19" s="67"/>
    </row>
    <row r="20" spans="2:29" ht="15.75" customHeight="1">
      <c r="B20" s="123">
        <f t="shared" si="6"/>
        <v>45352</v>
      </c>
      <c r="C20" s="571" t="str">
        <f t="shared" si="8"/>
        <v>Test</v>
      </c>
      <c r="D20" s="659">
        <v>45352</v>
      </c>
      <c r="E20" s="611" t="s">
        <v>270</v>
      </c>
      <c r="F20" s="124"/>
      <c r="G20" s="618"/>
      <c r="H20" s="118"/>
      <c r="I20" s="618"/>
      <c r="J20" s="118"/>
      <c r="K20" s="295">
        <f t="shared" ca="1" si="1"/>
        <v>1</v>
      </c>
      <c r="L20" s="40"/>
      <c r="M20" s="41"/>
      <c r="N20" s="40"/>
      <c r="O20" s="36"/>
      <c r="P20" s="40" t="str">
        <f t="shared" si="9"/>
        <v>Test</v>
      </c>
      <c r="Q20" s="40" t="str">
        <f t="shared" si="10"/>
        <v/>
      </c>
      <c r="R20" s="40" t="str">
        <f t="shared" si="11"/>
        <v/>
      </c>
      <c r="Y20" s="67"/>
    </row>
    <row r="21" spans="2:29" ht="15.75" customHeight="1">
      <c r="B21" s="123">
        <f t="shared" si="6"/>
        <v>45361</v>
      </c>
      <c r="C21" s="571" t="str">
        <f t="shared" si="8"/>
        <v>Termin 1 als Test  18:00 Uhr</v>
      </c>
      <c r="D21" s="658">
        <v>45361</v>
      </c>
      <c r="E21" s="612" t="s">
        <v>277</v>
      </c>
      <c r="F21" s="118" t="s">
        <v>271</v>
      </c>
      <c r="G21" s="618"/>
      <c r="H21" s="118"/>
      <c r="I21" s="618"/>
      <c r="J21" s="118"/>
      <c r="K21" s="295">
        <f t="shared" ca="1" si="1"/>
        <v>1</v>
      </c>
      <c r="L21" s="40"/>
      <c r="M21" s="41"/>
      <c r="N21" s="40"/>
      <c r="O21" s="36"/>
      <c r="P21" s="40" t="str">
        <f t="shared" si="9"/>
        <v>Termin 1 als Test  18:00 Uhr</v>
      </c>
      <c r="Q21" s="40" t="str">
        <f t="shared" si="10"/>
        <v/>
      </c>
      <c r="R21" s="40" t="str">
        <f t="shared" si="11"/>
        <v/>
      </c>
      <c r="Y21" s="67"/>
    </row>
    <row r="22" spans="2:29" ht="15.75" customHeight="1">
      <c r="B22" s="123" t="str">
        <f t="shared" si="6"/>
        <v/>
      </c>
      <c r="C22" s="571" t="str">
        <f t="shared" si="8"/>
        <v/>
      </c>
      <c r="D22" s="658"/>
      <c r="E22" s="612"/>
      <c r="F22" s="118"/>
      <c r="G22" s="618"/>
      <c r="H22" s="118"/>
      <c r="I22" s="618"/>
      <c r="J22" s="118"/>
      <c r="K22" s="295" t="str">
        <f t="shared" ca="1" si="1"/>
        <v/>
      </c>
      <c r="L22" s="40"/>
      <c r="M22" s="41"/>
      <c r="N22" s="40"/>
      <c r="O22" s="36"/>
      <c r="P22" s="40" t="str">
        <f t="shared" si="9"/>
        <v/>
      </c>
      <c r="Q22" s="40" t="str">
        <f t="shared" si="10"/>
        <v/>
      </c>
      <c r="R22" s="40" t="str">
        <f t="shared" si="11"/>
        <v/>
      </c>
      <c r="Y22" s="67"/>
    </row>
    <row r="23" spans="2:29" ht="15.75" customHeight="1">
      <c r="B23" s="123" t="str">
        <f t="shared" si="6"/>
        <v/>
      </c>
      <c r="C23" s="571" t="str">
        <f t="shared" si="8"/>
        <v/>
      </c>
      <c r="D23" s="577"/>
      <c r="E23" s="614"/>
      <c r="F23" s="118"/>
      <c r="G23" s="618"/>
      <c r="H23" s="118"/>
      <c r="I23" s="618"/>
      <c r="J23" s="118"/>
      <c r="K23" s="295" t="str">
        <f t="shared" ca="1" si="1"/>
        <v/>
      </c>
      <c r="L23" s="40"/>
      <c r="M23" s="41"/>
      <c r="N23" s="40"/>
      <c r="O23" s="36"/>
      <c r="P23" s="40" t="str">
        <f t="shared" si="9"/>
        <v/>
      </c>
      <c r="Q23" s="40" t="str">
        <f t="shared" si="10"/>
        <v/>
      </c>
      <c r="R23" s="40" t="str">
        <f t="shared" si="11"/>
        <v/>
      </c>
      <c r="Y23" s="67"/>
      <c r="AB23" s="288"/>
      <c r="AC23" s="289"/>
    </row>
    <row r="24" spans="2:29" ht="15.75" customHeight="1">
      <c r="B24" s="123" t="str">
        <f t="shared" si="6"/>
        <v/>
      </c>
      <c r="C24" s="571" t="str">
        <f t="shared" si="8"/>
        <v/>
      </c>
      <c r="D24" s="577"/>
      <c r="E24" s="614"/>
      <c r="F24" s="120"/>
      <c r="G24" s="621"/>
      <c r="H24" s="120"/>
      <c r="I24" s="621"/>
      <c r="J24" s="120"/>
      <c r="K24" s="295" t="str">
        <f t="shared" ca="1" si="1"/>
        <v/>
      </c>
      <c r="L24" s="40"/>
      <c r="M24" s="41"/>
      <c r="N24" s="40"/>
      <c r="O24" s="36"/>
      <c r="P24" s="40" t="str">
        <f t="shared" si="9"/>
        <v/>
      </c>
      <c r="Q24" s="40" t="str">
        <f t="shared" si="10"/>
        <v/>
      </c>
      <c r="R24" s="40" t="str">
        <f t="shared" si="11"/>
        <v/>
      </c>
      <c r="Y24" s="67"/>
      <c r="AB24" s="288"/>
      <c r="AC24" s="289"/>
    </row>
    <row r="25" spans="2:29" ht="15.75">
      <c r="B25" s="123" t="str">
        <f t="shared" si="6"/>
        <v/>
      </c>
      <c r="C25" s="571" t="str">
        <f t="shared" si="8"/>
        <v/>
      </c>
      <c r="D25" s="577"/>
      <c r="E25" s="614"/>
      <c r="F25" s="120"/>
      <c r="G25" s="621"/>
      <c r="H25" s="120"/>
      <c r="I25" s="621"/>
      <c r="J25" s="120"/>
      <c r="K25" s="295" t="str">
        <f t="shared" ca="1" si="1"/>
        <v/>
      </c>
      <c r="L25" s="40"/>
      <c r="M25" s="41"/>
      <c r="N25" s="40"/>
      <c r="O25" s="36"/>
      <c r="P25" s="40" t="str">
        <f t="shared" si="9"/>
        <v/>
      </c>
      <c r="Q25" s="40" t="str">
        <f t="shared" si="10"/>
        <v/>
      </c>
      <c r="R25" s="40" t="str">
        <f t="shared" si="11"/>
        <v/>
      </c>
      <c r="Y25" s="67"/>
      <c r="AB25" s="288"/>
      <c r="AC25" s="289"/>
    </row>
    <row r="26" spans="2:29" ht="15.75">
      <c r="B26" s="123" t="str">
        <f t="shared" si="6"/>
        <v/>
      </c>
      <c r="C26" s="571" t="str">
        <f t="shared" si="8"/>
        <v/>
      </c>
      <c r="D26" s="577"/>
      <c r="E26" s="614"/>
      <c r="F26" s="120"/>
      <c r="G26" s="621"/>
      <c r="H26" s="120"/>
      <c r="I26" s="621"/>
      <c r="J26" s="120"/>
      <c r="K26" s="295" t="str">
        <f t="shared" ca="1" si="1"/>
        <v/>
      </c>
      <c r="L26" s="40"/>
      <c r="M26" s="41"/>
      <c r="N26" s="40"/>
      <c r="O26" s="36"/>
      <c r="P26" s="40" t="str">
        <f t="shared" si="9"/>
        <v/>
      </c>
      <c r="Q26" s="40" t="str">
        <f t="shared" si="10"/>
        <v/>
      </c>
      <c r="R26" s="40" t="str">
        <f t="shared" si="11"/>
        <v/>
      </c>
      <c r="Y26" s="67"/>
      <c r="AB26" s="288"/>
      <c r="AC26" s="289"/>
    </row>
    <row r="27" spans="2:29" ht="15.75">
      <c r="B27" s="123" t="str">
        <f t="shared" si="6"/>
        <v/>
      </c>
      <c r="C27" s="571" t="str">
        <f t="shared" si="8"/>
        <v/>
      </c>
      <c r="D27" s="577"/>
      <c r="E27" s="614"/>
      <c r="F27" s="120"/>
      <c r="G27" s="621"/>
      <c r="H27" s="120"/>
      <c r="I27" s="621"/>
      <c r="J27" s="120"/>
      <c r="K27" s="295" t="str">
        <f t="shared" ca="1" si="1"/>
        <v/>
      </c>
      <c r="L27" s="40"/>
      <c r="M27" s="41"/>
      <c r="N27" s="40"/>
      <c r="O27" s="36"/>
      <c r="P27" s="40" t="str">
        <f t="shared" si="9"/>
        <v/>
      </c>
      <c r="Q27" s="40" t="str">
        <f t="shared" si="10"/>
        <v/>
      </c>
      <c r="R27" s="40" t="str">
        <f t="shared" si="11"/>
        <v/>
      </c>
      <c r="Y27" s="67"/>
      <c r="AB27" s="288"/>
      <c r="AC27" s="289"/>
    </row>
    <row r="28" spans="2:29" ht="15.75">
      <c r="B28" s="123" t="str">
        <f t="shared" si="6"/>
        <v/>
      </c>
      <c r="C28" s="571" t="str">
        <f t="shared" si="8"/>
        <v/>
      </c>
      <c r="D28" s="577"/>
      <c r="E28" s="614"/>
      <c r="F28" s="120"/>
      <c r="G28" s="621"/>
      <c r="H28" s="120"/>
      <c r="I28" s="621"/>
      <c r="J28" s="120"/>
      <c r="K28" s="295" t="str">
        <f t="shared" ca="1" si="1"/>
        <v/>
      </c>
      <c r="L28" s="38"/>
      <c r="M28" s="42"/>
      <c r="N28" s="40"/>
      <c r="O28" s="36"/>
      <c r="P28" s="40" t="str">
        <f t="shared" si="9"/>
        <v/>
      </c>
      <c r="Q28" s="40" t="str">
        <f t="shared" si="10"/>
        <v/>
      </c>
      <c r="R28" s="40" t="str">
        <f t="shared" si="11"/>
        <v/>
      </c>
      <c r="Y28" s="67"/>
      <c r="AB28" s="288"/>
      <c r="AC28" s="289"/>
    </row>
    <row r="29" spans="2:29" ht="15.75">
      <c r="B29" s="123" t="str">
        <f t="shared" si="6"/>
        <v/>
      </c>
      <c r="C29" s="571" t="str">
        <f t="shared" si="8"/>
        <v/>
      </c>
      <c r="D29" s="577"/>
      <c r="E29" s="614"/>
      <c r="F29" s="120"/>
      <c r="G29" s="621"/>
      <c r="H29" s="120"/>
      <c r="I29" s="621"/>
      <c r="J29" s="120"/>
      <c r="K29" s="295" t="str">
        <f t="shared" ca="1" si="1"/>
        <v/>
      </c>
      <c r="L29" s="40"/>
      <c r="M29" s="41"/>
      <c r="N29" s="40"/>
      <c r="O29" s="36"/>
      <c r="P29" s="40" t="str">
        <f t="shared" si="9"/>
        <v/>
      </c>
      <c r="Q29" s="40" t="str">
        <f t="shared" si="10"/>
        <v/>
      </c>
      <c r="R29" s="40" t="str">
        <f t="shared" si="11"/>
        <v/>
      </c>
      <c r="Y29" s="67"/>
      <c r="AB29" s="288"/>
      <c r="AC29" s="289"/>
    </row>
    <row r="30" spans="2:29" ht="15.75">
      <c r="B30" s="123" t="str">
        <f t="shared" si="6"/>
        <v/>
      </c>
      <c r="C30" s="571" t="str">
        <f t="shared" si="8"/>
        <v/>
      </c>
      <c r="D30" s="577"/>
      <c r="E30" s="614"/>
      <c r="F30" s="120"/>
      <c r="G30" s="621"/>
      <c r="H30" s="120"/>
      <c r="I30" s="621"/>
      <c r="J30" s="120"/>
      <c r="K30" s="295" t="str">
        <f t="shared" ca="1" si="1"/>
        <v/>
      </c>
      <c r="L30" s="40"/>
      <c r="M30" s="41"/>
      <c r="N30" s="40"/>
      <c r="O30" s="36"/>
      <c r="P30" s="40" t="str">
        <f t="shared" si="9"/>
        <v/>
      </c>
      <c r="Q30" s="40" t="str">
        <f t="shared" si="10"/>
        <v/>
      </c>
      <c r="R30" s="40" t="str">
        <f t="shared" si="11"/>
        <v/>
      </c>
      <c r="Y30" s="67"/>
      <c r="AB30" s="288"/>
      <c r="AC30" s="289"/>
    </row>
    <row r="31" spans="2:29" ht="15.75" customHeight="1">
      <c r="B31" s="123" t="str">
        <f t="shared" si="6"/>
        <v/>
      </c>
      <c r="C31" s="571" t="str">
        <f t="shared" si="8"/>
        <v/>
      </c>
      <c r="D31" s="578"/>
      <c r="E31" s="615"/>
      <c r="F31" s="285"/>
      <c r="G31" s="622"/>
      <c r="H31" s="285"/>
      <c r="I31" s="622"/>
      <c r="J31" s="285"/>
      <c r="K31" s="295" t="str">
        <f t="shared" ca="1" si="1"/>
        <v/>
      </c>
      <c r="L31" s="45"/>
      <c r="M31" s="46"/>
      <c r="N31" s="40"/>
      <c r="O31" s="36"/>
      <c r="P31" s="40" t="str">
        <f t="shared" si="9"/>
        <v/>
      </c>
      <c r="Q31" s="40" t="str">
        <f t="shared" si="10"/>
        <v/>
      </c>
      <c r="R31" s="40" t="str">
        <f t="shared" si="11"/>
        <v/>
      </c>
      <c r="Y31" s="67"/>
      <c r="AB31" s="288"/>
      <c r="AC31" s="289"/>
    </row>
    <row r="32" spans="2:29" ht="15.75" customHeight="1">
      <c r="B32" s="123" t="str">
        <f t="shared" si="6"/>
        <v/>
      </c>
      <c r="C32" s="571" t="str">
        <f t="shared" si="8"/>
        <v/>
      </c>
      <c r="D32" s="180"/>
      <c r="E32" s="611"/>
      <c r="F32" s="284"/>
      <c r="G32" s="623"/>
      <c r="H32" s="284"/>
      <c r="I32" s="623"/>
      <c r="J32" s="284"/>
      <c r="K32" s="295" t="str">
        <f t="shared" ca="1" si="1"/>
        <v/>
      </c>
      <c r="L32" s="45"/>
      <c r="M32" s="46"/>
      <c r="N32" s="40"/>
      <c r="O32" s="36"/>
      <c r="P32" s="40" t="str">
        <f t="shared" si="9"/>
        <v/>
      </c>
      <c r="Q32" s="40" t="str">
        <f t="shared" si="10"/>
        <v/>
      </c>
      <c r="R32" s="40" t="str">
        <f t="shared" si="11"/>
        <v/>
      </c>
      <c r="Y32" s="67"/>
      <c r="AB32" s="288"/>
      <c r="AC32" s="289"/>
    </row>
    <row r="33" spans="2:29" ht="15.75" customHeight="1">
      <c r="B33" s="123" t="str">
        <f t="shared" ref="B33:B57" si="12">IF(AND(D33,E33=""),"",D33)</f>
        <v/>
      </c>
      <c r="C33" s="571" t="str">
        <f t="shared" si="8"/>
        <v/>
      </c>
      <c r="D33" s="577"/>
      <c r="E33" s="614"/>
      <c r="F33" s="120"/>
      <c r="G33" s="621"/>
      <c r="H33" s="120"/>
      <c r="I33" s="621"/>
      <c r="J33" s="120"/>
      <c r="K33" s="295" t="str">
        <f t="shared" ca="1" si="1"/>
        <v/>
      </c>
      <c r="L33" s="45"/>
      <c r="M33" s="46"/>
      <c r="N33" s="40"/>
      <c r="O33" s="36"/>
      <c r="P33" s="40" t="str">
        <f t="shared" si="9"/>
        <v/>
      </c>
      <c r="Q33" s="40" t="str">
        <f t="shared" si="10"/>
        <v/>
      </c>
      <c r="R33" s="40" t="str">
        <f t="shared" si="11"/>
        <v/>
      </c>
      <c r="Y33" s="67"/>
      <c r="AB33" s="288"/>
      <c r="AC33" s="289"/>
    </row>
    <row r="34" spans="2:29" ht="15.75" customHeight="1">
      <c r="B34" s="123" t="str">
        <f t="shared" si="12"/>
        <v/>
      </c>
      <c r="C34" s="571" t="str">
        <f t="shared" si="8"/>
        <v/>
      </c>
      <c r="D34" s="577"/>
      <c r="E34" s="614"/>
      <c r="F34" s="120"/>
      <c r="G34" s="621"/>
      <c r="H34" s="120"/>
      <c r="I34" s="621"/>
      <c r="J34" s="120"/>
      <c r="K34" s="295" t="str">
        <f t="shared" ca="1" si="1"/>
        <v/>
      </c>
      <c r="L34" s="45"/>
      <c r="M34" s="46"/>
      <c r="N34" s="40"/>
      <c r="O34" s="36"/>
      <c r="P34" s="40" t="str">
        <f t="shared" si="9"/>
        <v/>
      </c>
      <c r="Q34" s="40" t="str">
        <f t="shared" si="10"/>
        <v/>
      </c>
      <c r="R34" s="40" t="str">
        <f t="shared" si="11"/>
        <v/>
      </c>
      <c r="Y34" s="67"/>
      <c r="AB34" s="288"/>
      <c r="AC34" s="289"/>
    </row>
    <row r="35" spans="2:29" ht="15.75" customHeight="1">
      <c r="B35" s="123" t="str">
        <f t="shared" si="12"/>
        <v/>
      </c>
      <c r="C35" s="571" t="str">
        <f t="shared" si="8"/>
        <v/>
      </c>
      <c r="D35" s="577"/>
      <c r="E35" s="614"/>
      <c r="F35" s="120"/>
      <c r="G35" s="621"/>
      <c r="H35" s="120"/>
      <c r="I35" s="621"/>
      <c r="J35" s="120"/>
      <c r="K35" s="295" t="str">
        <f t="shared" ca="1" si="1"/>
        <v/>
      </c>
      <c r="L35" s="45"/>
      <c r="M35" s="46"/>
      <c r="N35" s="40"/>
      <c r="O35" s="36"/>
      <c r="P35" s="40" t="str">
        <f t="shared" si="9"/>
        <v/>
      </c>
      <c r="Q35" s="40" t="str">
        <f t="shared" si="10"/>
        <v/>
      </c>
      <c r="R35" s="40" t="str">
        <f t="shared" si="11"/>
        <v/>
      </c>
      <c r="S35" s="67"/>
      <c r="AB35" s="288"/>
      <c r="AC35" s="289"/>
    </row>
    <row r="36" spans="2:29" ht="15.75" customHeight="1">
      <c r="B36" s="123" t="str">
        <f t="shared" si="12"/>
        <v/>
      </c>
      <c r="C36" s="571" t="str">
        <f t="shared" si="8"/>
        <v/>
      </c>
      <c r="D36" s="577"/>
      <c r="E36" s="614"/>
      <c r="F36" s="120"/>
      <c r="G36" s="621"/>
      <c r="H36" s="120"/>
      <c r="I36" s="621"/>
      <c r="J36" s="120"/>
      <c r="K36" s="295" t="str">
        <f t="shared" ca="1" si="1"/>
        <v/>
      </c>
      <c r="L36" s="45"/>
      <c r="M36" s="46"/>
      <c r="N36" s="40"/>
      <c r="O36" s="36"/>
      <c r="P36" s="40" t="str">
        <f t="shared" si="9"/>
        <v/>
      </c>
      <c r="Q36" s="40" t="str">
        <f t="shared" si="10"/>
        <v/>
      </c>
      <c r="R36" s="40" t="str">
        <f t="shared" si="11"/>
        <v/>
      </c>
      <c r="S36" s="67"/>
      <c r="AB36" s="288"/>
      <c r="AC36" s="289"/>
    </row>
    <row r="37" spans="2:29" ht="15.75" customHeight="1">
      <c r="B37" s="123" t="str">
        <f t="shared" si="12"/>
        <v/>
      </c>
      <c r="C37" s="571" t="str">
        <f t="shared" si="8"/>
        <v/>
      </c>
      <c r="D37" s="577"/>
      <c r="E37" s="614"/>
      <c r="F37" s="120"/>
      <c r="G37" s="621"/>
      <c r="H37" s="120"/>
      <c r="I37" s="621"/>
      <c r="J37" s="120"/>
      <c r="K37" s="295" t="str">
        <f t="shared" ca="1" si="1"/>
        <v/>
      </c>
      <c r="L37" s="45"/>
      <c r="M37" s="46"/>
      <c r="N37" s="40"/>
      <c r="O37" s="36"/>
      <c r="P37" s="40" t="str">
        <f t="shared" si="9"/>
        <v/>
      </c>
      <c r="Q37" s="40" t="str">
        <f t="shared" si="10"/>
        <v/>
      </c>
      <c r="R37" s="40" t="str">
        <f t="shared" si="11"/>
        <v/>
      </c>
      <c r="S37" s="67"/>
      <c r="AB37" s="288"/>
      <c r="AC37" s="289"/>
    </row>
    <row r="38" spans="2:29" ht="15.75" customHeight="1">
      <c r="B38" s="123" t="str">
        <f t="shared" si="12"/>
        <v/>
      </c>
      <c r="C38" s="571" t="str">
        <f t="shared" si="8"/>
        <v/>
      </c>
      <c r="D38" s="577"/>
      <c r="E38" s="614"/>
      <c r="F38" s="120"/>
      <c r="G38" s="621"/>
      <c r="H38" s="120"/>
      <c r="I38" s="621"/>
      <c r="J38" s="120"/>
      <c r="K38" s="295" t="str">
        <f t="shared" ca="1" si="1"/>
        <v/>
      </c>
      <c r="L38" s="45"/>
      <c r="M38" s="46"/>
      <c r="N38" s="40"/>
      <c r="O38" s="36"/>
      <c r="P38" s="40" t="str">
        <f t="shared" si="9"/>
        <v/>
      </c>
      <c r="Q38" s="40" t="str">
        <f t="shared" si="10"/>
        <v/>
      </c>
      <c r="R38" s="40" t="str">
        <f t="shared" si="11"/>
        <v/>
      </c>
      <c r="AB38" s="288"/>
      <c r="AC38" s="289"/>
    </row>
    <row r="39" spans="2:29" ht="15.75" customHeight="1">
      <c r="B39" s="123" t="str">
        <f t="shared" si="12"/>
        <v/>
      </c>
      <c r="C39" s="571" t="str">
        <f t="shared" si="8"/>
        <v/>
      </c>
      <c r="D39" s="577"/>
      <c r="E39" s="609"/>
      <c r="F39" s="290"/>
      <c r="G39" s="624"/>
      <c r="H39" s="290"/>
      <c r="I39" s="624"/>
      <c r="J39" s="290"/>
      <c r="K39" s="295" t="str">
        <f t="shared" ca="1" si="1"/>
        <v/>
      </c>
      <c r="L39" s="45"/>
      <c r="M39" s="46"/>
      <c r="N39" s="40"/>
      <c r="O39" s="36"/>
      <c r="P39" s="40" t="str">
        <f t="shared" si="9"/>
        <v/>
      </c>
      <c r="Q39" s="40" t="str">
        <f t="shared" si="10"/>
        <v/>
      </c>
      <c r="R39" s="40" t="str">
        <f t="shared" si="11"/>
        <v/>
      </c>
    </row>
    <row r="40" spans="2:29" ht="15.75" customHeight="1">
      <c r="B40" s="123" t="str">
        <f t="shared" si="12"/>
        <v/>
      </c>
      <c r="C40" s="571" t="str">
        <f t="shared" si="8"/>
        <v/>
      </c>
      <c r="D40" s="577"/>
      <c r="E40" s="609"/>
      <c r="F40" s="290"/>
      <c r="G40" s="624"/>
      <c r="H40" s="290"/>
      <c r="I40" s="624"/>
      <c r="J40" s="290"/>
      <c r="K40" s="295" t="str">
        <f t="shared" ca="1" si="1"/>
        <v/>
      </c>
      <c r="L40" s="45"/>
      <c r="M40" s="46"/>
      <c r="N40" s="40"/>
      <c r="O40" s="36"/>
      <c r="P40" s="40" t="str">
        <f t="shared" si="9"/>
        <v/>
      </c>
      <c r="Q40" s="40" t="str">
        <f t="shared" si="10"/>
        <v/>
      </c>
      <c r="R40" s="40" t="str">
        <f t="shared" si="11"/>
        <v/>
      </c>
    </row>
    <row r="41" spans="2:29" ht="15.75" customHeight="1">
      <c r="B41" s="123" t="str">
        <f t="shared" si="12"/>
        <v/>
      </c>
      <c r="C41" s="571" t="str">
        <f t="shared" si="8"/>
        <v/>
      </c>
      <c r="D41" s="577"/>
      <c r="E41" s="609"/>
      <c r="F41" s="290"/>
      <c r="G41" s="624"/>
      <c r="H41" s="290"/>
      <c r="I41" s="624"/>
      <c r="J41" s="290"/>
      <c r="K41" s="295"/>
      <c r="L41" s="45"/>
      <c r="M41" s="46"/>
      <c r="N41" s="40"/>
      <c r="O41" s="36"/>
      <c r="P41" s="40" t="str">
        <f t="shared" si="9"/>
        <v/>
      </c>
      <c r="Q41" s="40" t="str">
        <f t="shared" si="10"/>
        <v/>
      </c>
      <c r="R41" s="40" t="str">
        <f t="shared" si="11"/>
        <v/>
      </c>
    </row>
    <row r="42" spans="2:29" ht="15.75" customHeight="1">
      <c r="B42" s="123" t="str">
        <f t="shared" si="12"/>
        <v/>
      </c>
      <c r="C42" s="571" t="str">
        <f t="shared" si="8"/>
        <v/>
      </c>
      <c r="D42" s="577"/>
      <c r="E42" s="609"/>
      <c r="F42" s="290"/>
      <c r="G42" s="624"/>
      <c r="H42" s="290"/>
      <c r="I42" s="624"/>
      <c r="J42" s="290"/>
      <c r="K42" s="295"/>
      <c r="L42" s="45"/>
      <c r="M42" s="46"/>
      <c r="N42" s="40"/>
      <c r="O42" s="36"/>
      <c r="P42" s="40" t="str">
        <f t="shared" si="9"/>
        <v/>
      </c>
      <c r="Q42" s="40" t="str">
        <f t="shared" si="10"/>
        <v/>
      </c>
      <c r="R42" s="40" t="str">
        <f t="shared" si="11"/>
        <v/>
      </c>
    </row>
    <row r="43" spans="2:29" ht="15.75" customHeight="1">
      <c r="B43" s="123" t="str">
        <f t="shared" si="12"/>
        <v/>
      </c>
      <c r="C43" s="571" t="str">
        <f t="shared" si="8"/>
        <v/>
      </c>
      <c r="D43" s="577"/>
      <c r="E43" s="609"/>
      <c r="F43" s="290"/>
      <c r="G43" s="624"/>
      <c r="H43" s="290"/>
      <c r="I43" s="624"/>
      <c r="J43" s="290"/>
      <c r="K43" s="295"/>
      <c r="L43" s="45"/>
      <c r="M43" s="46"/>
      <c r="N43" s="40"/>
      <c r="O43" s="36"/>
      <c r="P43" s="40" t="str">
        <f t="shared" si="9"/>
        <v/>
      </c>
      <c r="Q43" s="40" t="str">
        <f t="shared" si="10"/>
        <v/>
      </c>
      <c r="R43" s="40" t="str">
        <f t="shared" si="11"/>
        <v/>
      </c>
    </row>
    <row r="44" spans="2:29" ht="15.75" customHeight="1">
      <c r="B44" s="123" t="str">
        <f t="shared" si="12"/>
        <v/>
      </c>
      <c r="C44" s="571" t="str">
        <f t="shared" si="8"/>
        <v/>
      </c>
      <c r="D44" s="577"/>
      <c r="E44" s="609"/>
      <c r="F44" s="290"/>
      <c r="G44" s="624"/>
      <c r="H44" s="290"/>
      <c r="I44" s="624"/>
      <c r="J44" s="290"/>
      <c r="K44" s="295"/>
      <c r="L44" s="45"/>
      <c r="M44" s="46"/>
      <c r="N44" s="40"/>
      <c r="O44" s="36"/>
      <c r="P44" s="40" t="str">
        <f t="shared" si="9"/>
        <v/>
      </c>
      <c r="Q44" s="40" t="str">
        <f t="shared" si="10"/>
        <v/>
      </c>
      <c r="R44" s="40" t="str">
        <f t="shared" si="11"/>
        <v/>
      </c>
    </row>
    <row r="45" spans="2:29" ht="15.75" customHeight="1">
      <c r="B45" s="123" t="str">
        <f t="shared" si="12"/>
        <v/>
      </c>
      <c r="C45" s="571" t="str">
        <f t="shared" si="8"/>
        <v/>
      </c>
      <c r="D45" s="577"/>
      <c r="E45" s="609"/>
      <c r="F45" s="290"/>
      <c r="G45" s="624"/>
      <c r="H45" s="290"/>
      <c r="I45" s="624"/>
      <c r="J45" s="290"/>
      <c r="K45" s="295"/>
      <c r="L45" s="45"/>
      <c r="M45" s="46"/>
      <c r="N45" s="40"/>
      <c r="O45" s="36"/>
      <c r="P45" s="40" t="str">
        <f t="shared" si="9"/>
        <v/>
      </c>
      <c r="Q45" s="40" t="str">
        <f t="shared" si="10"/>
        <v/>
      </c>
      <c r="R45" s="40" t="str">
        <f t="shared" si="11"/>
        <v/>
      </c>
    </row>
    <row r="46" spans="2:29" ht="15.75" customHeight="1">
      <c r="B46" s="123" t="str">
        <f t="shared" si="12"/>
        <v/>
      </c>
      <c r="C46" s="571" t="str">
        <f t="shared" si="8"/>
        <v/>
      </c>
      <c r="D46" s="577"/>
      <c r="E46" s="609"/>
      <c r="F46" s="290"/>
      <c r="G46" s="624"/>
      <c r="H46" s="290"/>
      <c r="I46" s="624"/>
      <c r="J46" s="290"/>
      <c r="K46" s="295"/>
      <c r="L46" s="45"/>
      <c r="M46" s="46"/>
      <c r="N46" s="40"/>
      <c r="O46" s="36"/>
      <c r="P46" s="40" t="str">
        <f t="shared" si="9"/>
        <v/>
      </c>
      <c r="Q46" s="40" t="str">
        <f t="shared" si="10"/>
        <v/>
      </c>
      <c r="R46" s="40" t="str">
        <f t="shared" si="11"/>
        <v/>
      </c>
    </row>
    <row r="47" spans="2:29" ht="15.75" customHeight="1">
      <c r="B47" s="123" t="str">
        <f t="shared" si="12"/>
        <v/>
      </c>
      <c r="C47" s="571" t="str">
        <f t="shared" si="8"/>
        <v/>
      </c>
      <c r="D47" s="577"/>
      <c r="E47" s="609"/>
      <c r="F47" s="290"/>
      <c r="G47" s="624"/>
      <c r="H47" s="290"/>
      <c r="I47" s="624"/>
      <c r="J47" s="290"/>
      <c r="K47" s="295"/>
      <c r="L47" s="45"/>
      <c r="M47" s="46"/>
      <c r="N47" s="40"/>
      <c r="O47" s="36"/>
      <c r="P47" s="40" t="str">
        <f t="shared" si="9"/>
        <v/>
      </c>
      <c r="Q47" s="40" t="str">
        <f t="shared" si="10"/>
        <v/>
      </c>
      <c r="R47" s="40" t="str">
        <f t="shared" si="11"/>
        <v/>
      </c>
    </row>
    <row r="48" spans="2:29" ht="15.75" customHeight="1">
      <c r="B48" s="123" t="str">
        <f t="shared" si="12"/>
        <v/>
      </c>
      <c r="C48" s="571" t="str">
        <f t="shared" si="8"/>
        <v/>
      </c>
      <c r="D48" s="577"/>
      <c r="E48" s="609"/>
      <c r="F48" s="290"/>
      <c r="G48" s="624"/>
      <c r="H48" s="290"/>
      <c r="I48" s="624"/>
      <c r="J48" s="290"/>
      <c r="K48" s="295"/>
      <c r="L48" s="45"/>
      <c r="M48" s="46"/>
      <c r="N48" s="40"/>
      <c r="O48" s="36"/>
      <c r="P48" s="40" t="str">
        <f t="shared" si="9"/>
        <v/>
      </c>
      <c r="Q48" s="40" t="str">
        <f t="shared" si="10"/>
        <v/>
      </c>
      <c r="R48" s="40" t="str">
        <f t="shared" si="11"/>
        <v/>
      </c>
    </row>
    <row r="49" spans="2:18" ht="15.75" customHeight="1">
      <c r="B49" s="123" t="str">
        <f t="shared" si="12"/>
        <v/>
      </c>
      <c r="C49" s="571" t="str">
        <f t="shared" si="8"/>
        <v/>
      </c>
      <c r="D49" s="577"/>
      <c r="E49" s="609"/>
      <c r="F49" s="290"/>
      <c r="G49" s="624"/>
      <c r="H49" s="290"/>
      <c r="I49" s="624"/>
      <c r="J49" s="290"/>
      <c r="K49" s="295"/>
      <c r="L49" s="45"/>
      <c r="M49" s="46"/>
      <c r="N49" s="40"/>
      <c r="O49" s="36"/>
      <c r="P49" s="40" t="str">
        <f t="shared" si="9"/>
        <v/>
      </c>
      <c r="Q49" s="40" t="str">
        <f t="shared" si="10"/>
        <v/>
      </c>
      <c r="R49" s="40" t="str">
        <f t="shared" si="11"/>
        <v/>
      </c>
    </row>
    <row r="50" spans="2:18" ht="15.75" customHeight="1">
      <c r="B50" s="123" t="str">
        <f t="shared" si="12"/>
        <v/>
      </c>
      <c r="C50" s="571" t="str">
        <f t="shared" si="8"/>
        <v/>
      </c>
      <c r="D50" s="577"/>
      <c r="E50" s="614"/>
      <c r="F50" s="290"/>
      <c r="G50" s="624"/>
      <c r="H50" s="290"/>
      <c r="I50" s="624"/>
      <c r="J50" s="290"/>
      <c r="K50" s="295"/>
      <c r="L50" s="45"/>
      <c r="M50" s="46"/>
      <c r="N50" s="40"/>
      <c r="O50" s="36"/>
      <c r="P50" s="40" t="str">
        <f t="shared" si="9"/>
        <v/>
      </c>
      <c r="Q50" s="40" t="str">
        <f t="shared" si="10"/>
        <v/>
      </c>
      <c r="R50" s="40" t="str">
        <f t="shared" si="11"/>
        <v/>
      </c>
    </row>
    <row r="51" spans="2:18" ht="15.75" customHeight="1">
      <c r="B51" s="123" t="str">
        <f t="shared" si="12"/>
        <v/>
      </c>
      <c r="C51" s="571" t="str">
        <f t="shared" si="8"/>
        <v/>
      </c>
      <c r="D51" s="577"/>
      <c r="E51" s="614"/>
      <c r="F51" s="290"/>
      <c r="G51" s="624"/>
      <c r="H51" s="290"/>
      <c r="I51" s="624"/>
      <c r="J51" s="290"/>
      <c r="K51" s="295"/>
      <c r="L51" s="45"/>
      <c r="M51" s="46"/>
      <c r="N51" s="40"/>
      <c r="O51" s="36"/>
      <c r="P51" s="40" t="str">
        <f t="shared" si="9"/>
        <v/>
      </c>
      <c r="Q51" s="40" t="str">
        <f t="shared" si="10"/>
        <v/>
      </c>
      <c r="R51" s="40" t="str">
        <f t="shared" si="11"/>
        <v/>
      </c>
    </row>
    <row r="52" spans="2:18" ht="15.75" customHeight="1">
      <c r="B52" s="123" t="str">
        <f t="shared" si="12"/>
        <v/>
      </c>
      <c r="C52" s="571" t="str">
        <f t="shared" si="8"/>
        <v/>
      </c>
      <c r="D52" s="577"/>
      <c r="E52" s="614"/>
      <c r="F52" s="290"/>
      <c r="G52" s="624"/>
      <c r="H52" s="290"/>
      <c r="I52" s="624"/>
      <c r="J52" s="290"/>
      <c r="K52" s="295"/>
      <c r="L52" s="45"/>
      <c r="M52" s="46"/>
      <c r="N52" s="40"/>
      <c r="O52" s="36"/>
      <c r="P52" s="40" t="str">
        <f t="shared" si="9"/>
        <v/>
      </c>
      <c r="Q52" s="40" t="str">
        <f t="shared" si="10"/>
        <v/>
      </c>
      <c r="R52" s="40" t="str">
        <f t="shared" si="11"/>
        <v/>
      </c>
    </row>
    <row r="53" spans="2:18" ht="15.75" customHeight="1">
      <c r="B53" s="123" t="str">
        <f t="shared" si="12"/>
        <v/>
      </c>
      <c r="C53" s="571" t="str">
        <f t="shared" si="8"/>
        <v/>
      </c>
      <c r="D53" s="577"/>
      <c r="E53" s="609"/>
      <c r="F53" s="290"/>
      <c r="G53" s="624"/>
      <c r="H53" s="290"/>
      <c r="I53" s="624"/>
      <c r="J53" s="290"/>
      <c r="K53" s="295"/>
      <c r="L53" s="45"/>
      <c r="M53" s="46"/>
      <c r="N53" s="40"/>
      <c r="O53" s="36"/>
      <c r="P53" s="40" t="str">
        <f t="shared" si="9"/>
        <v/>
      </c>
      <c r="Q53" s="40" t="str">
        <f t="shared" si="10"/>
        <v/>
      </c>
      <c r="R53" s="40" t="str">
        <f t="shared" si="11"/>
        <v/>
      </c>
    </row>
    <row r="54" spans="2:18" ht="15.75" customHeight="1">
      <c r="B54" s="123" t="str">
        <f t="shared" si="12"/>
        <v/>
      </c>
      <c r="C54" s="571" t="str">
        <f t="shared" si="8"/>
        <v/>
      </c>
      <c r="D54" s="577"/>
      <c r="E54" s="609"/>
      <c r="F54" s="290"/>
      <c r="G54" s="624"/>
      <c r="H54" s="290"/>
      <c r="I54" s="624"/>
      <c r="J54" s="290"/>
      <c r="K54" s="295"/>
      <c r="L54" s="45"/>
      <c r="M54" s="46"/>
      <c r="N54" s="40"/>
      <c r="O54" s="36"/>
      <c r="P54" s="40" t="str">
        <f t="shared" si="9"/>
        <v/>
      </c>
      <c r="Q54" s="40" t="str">
        <f t="shared" si="10"/>
        <v/>
      </c>
      <c r="R54" s="40" t="str">
        <f t="shared" si="11"/>
        <v/>
      </c>
    </row>
    <row r="55" spans="2:18" ht="15.75">
      <c r="B55" s="123" t="str">
        <f t="shared" si="12"/>
        <v/>
      </c>
      <c r="C55" s="571" t="str">
        <f t="shared" si="8"/>
        <v/>
      </c>
      <c r="D55" s="577"/>
      <c r="E55" s="609"/>
      <c r="F55" s="290"/>
      <c r="G55" s="624"/>
      <c r="H55" s="290"/>
      <c r="I55" s="624"/>
      <c r="J55" s="290"/>
      <c r="K55" s="295"/>
      <c r="L55" s="45"/>
      <c r="M55" s="46"/>
      <c r="N55" s="40"/>
      <c r="O55" s="36"/>
      <c r="P55" s="40" t="str">
        <f t="shared" si="9"/>
        <v/>
      </c>
      <c r="Q55" s="40" t="str">
        <f t="shared" si="10"/>
        <v/>
      </c>
      <c r="R55" s="40" t="str">
        <f t="shared" si="11"/>
        <v/>
      </c>
    </row>
    <row r="56" spans="2:18" ht="15.75">
      <c r="B56" s="123" t="str">
        <f t="shared" si="12"/>
        <v/>
      </c>
      <c r="C56" s="571" t="str">
        <f t="shared" si="8"/>
        <v/>
      </c>
      <c r="D56" s="577"/>
      <c r="E56" s="609"/>
      <c r="F56" s="290"/>
      <c r="G56" s="624"/>
      <c r="H56" s="290"/>
      <c r="I56" s="624"/>
      <c r="J56" s="290"/>
      <c r="K56" s="295"/>
      <c r="L56" s="45"/>
      <c r="M56" s="46"/>
      <c r="N56" s="40"/>
      <c r="O56" s="36"/>
      <c r="P56" s="40" t="str">
        <f t="shared" si="9"/>
        <v/>
      </c>
      <c r="Q56" s="40" t="str">
        <f t="shared" si="10"/>
        <v/>
      </c>
      <c r="R56" s="40" t="str">
        <f t="shared" si="11"/>
        <v/>
      </c>
    </row>
    <row r="57" spans="2:18" ht="16.5" thickBot="1">
      <c r="B57" s="436" t="str">
        <f t="shared" si="12"/>
        <v/>
      </c>
      <c r="C57" s="571" t="str">
        <f t="shared" si="8"/>
        <v/>
      </c>
      <c r="D57" s="579"/>
      <c r="E57" s="616"/>
      <c r="F57" s="291"/>
      <c r="G57" s="625"/>
      <c r="H57" s="291"/>
      <c r="I57" s="625"/>
      <c r="J57" s="291"/>
      <c r="K57" s="295"/>
      <c r="L57" s="45"/>
      <c r="M57" s="46"/>
      <c r="N57" s="40"/>
      <c r="O57" s="36"/>
      <c r="P57" s="40" t="str">
        <f t="shared" si="9"/>
        <v/>
      </c>
      <c r="Q57" s="40" t="str">
        <f t="shared" si="10"/>
        <v/>
      </c>
      <c r="R57" s="40" t="str">
        <f t="shared" si="11"/>
        <v/>
      </c>
    </row>
    <row r="58" spans="2:18">
      <c r="D58" s="286"/>
      <c r="E58" s="286"/>
      <c r="F58" s="287"/>
      <c r="G58" s="287"/>
      <c r="H58" s="287"/>
      <c r="K58" s="66">
        <f ca="1">SUM(K3:K57)</f>
        <v>5</v>
      </c>
    </row>
  </sheetData>
  <sheetProtection sheet="1" selectLockedCells="1"/>
  <mergeCells count="9">
    <mergeCell ref="L2:M2"/>
    <mergeCell ref="L3:M3"/>
    <mergeCell ref="D12:J12"/>
    <mergeCell ref="D3:J3"/>
    <mergeCell ref="X11:Y11"/>
    <mergeCell ref="L7:O7"/>
    <mergeCell ref="L8:N8"/>
    <mergeCell ref="L9:M9"/>
    <mergeCell ref="L5:M6"/>
  </mergeCells>
  <conditionalFormatting sqref="B3 B12:B57">
    <cfRule type="expression" priority="132" stopIfTrue="1">
      <formula>#REF!=""</formula>
    </cfRule>
  </conditionalFormatting>
  <conditionalFormatting sqref="B4:B11">
    <cfRule type="expression" priority="52" stopIfTrue="1">
      <formula>#REF!=""</formula>
    </cfRule>
  </conditionalFormatting>
  <conditionalFormatting sqref="D8:D11">
    <cfRule type="expression" dxfId="155" priority="50">
      <formula>D8=""</formula>
    </cfRule>
    <cfRule type="expression" dxfId="154" priority="51">
      <formula>D8&lt;TODAY()</formula>
    </cfRule>
  </conditionalFormatting>
  <conditionalFormatting sqref="D8">
    <cfRule type="expression" dxfId="153" priority="48">
      <formula>D8=""</formula>
    </cfRule>
    <cfRule type="expression" dxfId="152" priority="49">
      <formula>D8&lt;TODAY()</formula>
    </cfRule>
  </conditionalFormatting>
  <conditionalFormatting sqref="D11">
    <cfRule type="expression" dxfId="151" priority="46">
      <formula>D11=""</formula>
    </cfRule>
    <cfRule type="expression" dxfId="150" priority="47">
      <formula>D11&lt;TODAY()</formula>
    </cfRule>
  </conditionalFormatting>
  <conditionalFormatting sqref="D11">
    <cfRule type="expression" dxfId="149" priority="44">
      <formula>D11=""</formula>
    </cfRule>
    <cfRule type="expression" dxfId="148" priority="45">
      <formula>D11&lt;TODAY()</formula>
    </cfRule>
  </conditionalFormatting>
  <conditionalFormatting sqref="D11">
    <cfRule type="expression" dxfId="147" priority="42">
      <formula>D11=""</formula>
    </cfRule>
    <cfRule type="expression" dxfId="146" priority="43">
      <formula>D11&lt;TODAY()</formula>
    </cfRule>
  </conditionalFormatting>
  <conditionalFormatting sqref="D4:D5">
    <cfRule type="expression" dxfId="145" priority="34">
      <formula>D4=""</formula>
    </cfRule>
  </conditionalFormatting>
  <conditionalFormatting sqref="D8">
    <cfRule type="expression" dxfId="144" priority="30">
      <formula>D8=""</formula>
    </cfRule>
    <cfRule type="expression" dxfId="143" priority="31">
      <formula>D8&lt;TODAY()</formula>
    </cfRule>
  </conditionalFormatting>
  <conditionalFormatting sqref="D9">
    <cfRule type="expression" dxfId="142" priority="28">
      <formula>D9=""</formula>
    </cfRule>
    <cfRule type="expression" dxfId="141" priority="29">
      <formula>D9&lt;TODAY()</formula>
    </cfRule>
  </conditionalFormatting>
  <conditionalFormatting sqref="D8">
    <cfRule type="expression" dxfId="140" priority="26">
      <formula>D8=""</formula>
    </cfRule>
    <cfRule type="expression" dxfId="139" priority="27">
      <formula>D8&lt;TODAY()</formula>
    </cfRule>
  </conditionalFormatting>
  <conditionalFormatting sqref="D13:D57">
    <cfRule type="expression" dxfId="138" priority="3">
      <formula>$L$1=""</formula>
    </cfRule>
    <cfRule type="expression" dxfId="137" priority="4">
      <formula>AND(MONTH($L$1)=MONTH($D13),DAY($L$1)=DAY($D13))</formula>
    </cfRule>
    <cfRule type="expression" dxfId="136" priority="5">
      <formula>$D13=""</formula>
    </cfRule>
    <cfRule type="expression" dxfId="135" priority="2">
      <formula>AND($D13&lt;&gt;"",AND($D13&lt;TODAY()))</formula>
    </cfRule>
  </conditionalFormatting>
  <conditionalFormatting sqref="D4:D11">
    <cfRule type="expression" dxfId="134" priority="35">
      <formula>AND($D4&lt;&gt;"",AND($D4&lt;TODAY()))</formula>
    </cfRule>
    <cfRule type="expression" dxfId="133" priority="1">
      <formula>AND($L$1&lt;&gt;"",AND($D4=$L$1))</formula>
    </cfRule>
  </conditionalFormatting>
  <pageMargins left="0.7" right="0.7" top="0.78749999999999998" bottom="0.78749999999999998" header="0.51180555555555551" footer="0.51180555555555551"/>
  <pageSetup scale="78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/>
  </sheetPr>
  <dimension ref="B1:V30"/>
  <sheetViews>
    <sheetView showGridLines="0" zoomScaleNormal="100" workbookViewId="0">
      <pane ySplit="31" topLeftCell="A32" activePane="bottomLeft" state="frozen"/>
      <selection pane="bottomLeft" activeCell="E2" sqref="E2:F2"/>
    </sheetView>
  </sheetViews>
  <sheetFormatPr baseColWidth="10" defaultRowHeight="12.75"/>
  <cols>
    <col min="1" max="1" width="19.5703125" style="393" customWidth="1"/>
    <col min="2" max="2" width="27" style="522" customWidth="1"/>
    <col min="3" max="8" width="21.85546875" style="522" customWidth="1"/>
    <col min="9" max="9" width="4" style="522" customWidth="1"/>
    <col min="10" max="10" width="28.28515625" style="522" customWidth="1"/>
    <col min="11" max="11" width="8.140625" style="522" customWidth="1"/>
    <col min="12" max="12" width="26.85546875" style="522" customWidth="1"/>
    <col min="13" max="13" width="28.5703125" style="522" customWidth="1"/>
    <col min="14" max="14" width="26.85546875" style="522" customWidth="1"/>
    <col min="15" max="15" width="36" style="393" customWidth="1"/>
    <col min="16" max="16" width="23.140625" style="393" customWidth="1"/>
    <col min="17" max="17" width="24" style="393" customWidth="1"/>
    <col min="18" max="22" width="30.5703125" style="393" customWidth="1"/>
    <col min="23" max="16384" width="11.42578125" style="393"/>
  </cols>
  <sheetData>
    <row r="1" spans="2:22" ht="13.5" thickBot="1"/>
    <row r="2" spans="2:22" ht="17.25" customHeight="1" thickBot="1">
      <c r="C2" s="775" t="s">
        <v>230</v>
      </c>
      <c r="D2" s="775"/>
      <c r="E2" s="776" t="s">
        <v>231</v>
      </c>
      <c r="F2" s="777"/>
      <c r="G2" s="778"/>
      <c r="H2" s="778"/>
      <c r="P2" s="393" t="s">
        <v>278</v>
      </c>
    </row>
    <row r="3" spans="2:22" ht="9.75" customHeight="1" thickBot="1"/>
    <row r="4" spans="2:22" ht="18" customHeight="1" thickBot="1">
      <c r="B4" s="523" t="s">
        <v>193</v>
      </c>
      <c r="C4" s="552" t="s">
        <v>21</v>
      </c>
      <c r="D4" s="552" t="s">
        <v>232</v>
      </c>
      <c r="E4" s="552" t="s">
        <v>22</v>
      </c>
      <c r="F4" s="552" t="s">
        <v>23</v>
      </c>
      <c r="G4" s="552" t="s">
        <v>24</v>
      </c>
      <c r="H4" s="524" t="s">
        <v>233</v>
      </c>
      <c r="J4" s="418" t="s">
        <v>102</v>
      </c>
      <c r="K4" s="419" t="s">
        <v>164</v>
      </c>
      <c r="N4" s="525"/>
      <c r="P4" s="526" t="s">
        <v>193</v>
      </c>
      <c r="Q4" s="527">
        <f>B6</f>
        <v>2024</v>
      </c>
      <c r="R4" s="266"/>
      <c r="S4" s="266"/>
      <c r="T4" s="266"/>
      <c r="U4" s="266"/>
      <c r="V4" s="266"/>
    </row>
    <row r="5" spans="2:22" ht="18" customHeight="1" thickBot="1">
      <c r="B5" s="528">
        <f>B6-1</f>
        <v>2023</v>
      </c>
      <c r="C5" s="596"/>
      <c r="D5" s="597"/>
      <c r="E5" s="597"/>
      <c r="F5" s="779" t="s">
        <v>234</v>
      </c>
      <c r="G5" s="780"/>
      <c r="H5" s="598" t="s">
        <v>236</v>
      </c>
      <c r="J5" s="418" t="s">
        <v>104</v>
      </c>
      <c r="K5" s="419" t="s">
        <v>165</v>
      </c>
      <c r="L5" s="365"/>
      <c r="N5" s="525"/>
      <c r="P5" s="528" t="s">
        <v>235</v>
      </c>
      <c r="Q5" s="528" t="str">
        <f>H5</f>
        <v>23.12. - 05.01.</v>
      </c>
      <c r="R5" s="419"/>
      <c r="S5" s="266"/>
      <c r="T5" s="266"/>
      <c r="U5" s="266"/>
      <c r="V5" s="266"/>
    </row>
    <row r="6" spans="2:22" ht="18" customHeight="1" thickBot="1">
      <c r="B6" s="529">
        <v>2024</v>
      </c>
      <c r="C6" s="599" t="s">
        <v>236</v>
      </c>
      <c r="D6" s="599" t="s">
        <v>264</v>
      </c>
      <c r="E6" s="599" t="s">
        <v>265</v>
      </c>
      <c r="F6" s="599" t="s">
        <v>266</v>
      </c>
      <c r="G6" s="599" t="s">
        <v>267</v>
      </c>
      <c r="H6" s="599" t="s">
        <v>268</v>
      </c>
      <c r="J6" s="418" t="s">
        <v>106</v>
      </c>
      <c r="K6" s="419" t="s">
        <v>105</v>
      </c>
      <c r="L6" s="365"/>
      <c r="N6" s="418"/>
      <c r="P6" s="530" t="s">
        <v>237</v>
      </c>
      <c r="Q6" s="530" t="str">
        <f>C6</f>
        <v>23.12. - 05.01.</v>
      </c>
      <c r="R6" s="419"/>
      <c r="S6" s="419"/>
      <c r="T6" s="419"/>
      <c r="U6" s="419"/>
      <c r="V6" s="419"/>
    </row>
    <row r="7" spans="2:22" ht="18" customHeight="1" thickBot="1">
      <c r="B7" s="266"/>
      <c r="C7" s="531"/>
      <c r="D7" s="531"/>
      <c r="E7" s="531"/>
      <c r="F7" s="531"/>
      <c r="G7" s="531"/>
      <c r="H7" s="531"/>
      <c r="J7" s="418" t="s">
        <v>107</v>
      </c>
      <c r="K7" s="419" t="s">
        <v>108</v>
      </c>
      <c r="L7" s="418"/>
      <c r="N7" s="418"/>
      <c r="P7" s="530" t="s">
        <v>238</v>
      </c>
      <c r="Q7" s="530" t="str">
        <f>D6</f>
        <v>23.03. - 05.04.</v>
      </c>
      <c r="R7" s="419"/>
      <c r="S7" s="419"/>
      <c r="T7" s="419"/>
      <c r="U7" s="419"/>
      <c r="V7" s="419"/>
    </row>
    <row r="8" spans="2:22" ht="18" customHeight="1" thickBot="1">
      <c r="B8" s="532" t="s">
        <v>239</v>
      </c>
      <c r="C8" s="781" t="s">
        <v>102</v>
      </c>
      <c r="D8" s="782"/>
      <c r="E8" s="368" t="s">
        <v>240</v>
      </c>
      <c r="F8" s="772" t="s">
        <v>241</v>
      </c>
      <c r="G8" s="773"/>
      <c r="H8" s="774"/>
      <c r="J8" s="418" t="s">
        <v>109</v>
      </c>
      <c r="K8" s="419" t="s">
        <v>166</v>
      </c>
      <c r="L8" s="418"/>
      <c r="N8" s="418"/>
      <c r="P8" s="530" t="s">
        <v>242</v>
      </c>
      <c r="Q8" s="530" t="str">
        <f>E6</f>
        <v>21.05. - 31.05.</v>
      </c>
      <c r="R8" s="419"/>
      <c r="S8" s="419"/>
      <c r="T8" s="419"/>
      <c r="U8" s="419"/>
      <c r="V8" s="419"/>
    </row>
    <row r="9" spans="2:22" ht="18" customHeight="1" thickBot="1">
      <c r="E9" s="582" t="str">
        <f>VLOOKUP(C8,J4:K19,2,1)</f>
        <v>BW</v>
      </c>
      <c r="F9" s="766" t="s">
        <v>243</v>
      </c>
      <c r="G9" s="767"/>
      <c r="H9" s="768"/>
      <c r="J9" s="418" t="s">
        <v>110</v>
      </c>
      <c r="K9" s="419" t="s">
        <v>167</v>
      </c>
      <c r="L9" s="418"/>
      <c r="N9" s="418"/>
      <c r="P9" s="530" t="s">
        <v>244</v>
      </c>
      <c r="Q9" s="530" t="str">
        <f>F6</f>
        <v>25.07. - 07.09.</v>
      </c>
      <c r="R9" s="419"/>
      <c r="S9" s="419"/>
      <c r="T9" s="419"/>
      <c r="U9" s="419"/>
      <c r="V9" s="419"/>
    </row>
    <row r="10" spans="2:22" ht="18" customHeight="1" thickBot="1">
      <c r="B10" s="526" t="str">
        <f>"Ferien "&amp;B6</f>
        <v>Ferien 2024</v>
      </c>
      <c r="C10" s="533" t="s">
        <v>19</v>
      </c>
      <c r="D10" s="534" t="s">
        <v>20</v>
      </c>
      <c r="E10" s="535">
        <f>DATE($B$6,MID(Q5,13,2),MID(Q5,10,2))</f>
        <v>45296</v>
      </c>
      <c r="F10" s="393"/>
      <c r="G10" s="393"/>
      <c r="H10" s="393"/>
      <c r="J10" s="418" t="s">
        <v>111</v>
      </c>
      <c r="K10" s="419" t="s">
        <v>168</v>
      </c>
      <c r="L10" s="418"/>
      <c r="N10" s="418"/>
      <c r="P10" s="530" t="s">
        <v>246</v>
      </c>
      <c r="Q10" s="530" t="str">
        <f>G6</f>
        <v>28.10. - 30.10.+31.10.</v>
      </c>
      <c r="R10" s="419"/>
      <c r="S10" s="419"/>
      <c r="T10" s="419"/>
      <c r="U10" s="419"/>
      <c r="V10" s="419"/>
    </row>
    <row r="11" spans="2:22" ht="18" customHeight="1" thickBot="1">
      <c r="B11" s="536" t="s">
        <v>235</v>
      </c>
      <c r="C11" s="594">
        <f>DATE($B$6-1,MID(Q5,4,2),MID(Q5,1,2))</f>
        <v>45283</v>
      </c>
      <c r="D11" s="595">
        <f>IF(MONTH(E10)&lt;MONTH(C11),E10,E11)</f>
        <v>45296</v>
      </c>
      <c r="E11" s="537">
        <f>DATE($B$6-1,MID(Q5,13,2),MID(Q5,10,2))</f>
        <v>44931</v>
      </c>
      <c r="F11" s="365"/>
      <c r="J11" s="418" t="s">
        <v>112</v>
      </c>
      <c r="K11" s="419" t="s">
        <v>169</v>
      </c>
      <c r="L11" s="418"/>
      <c r="N11" s="418"/>
      <c r="P11" s="538" t="s">
        <v>247</v>
      </c>
      <c r="Q11" s="538" t="str">
        <f>H6</f>
        <v>23.12. - 04.01.</v>
      </c>
      <c r="R11" s="419"/>
      <c r="S11" s="419"/>
      <c r="T11" s="419"/>
      <c r="U11" s="419"/>
      <c r="V11" s="419"/>
    </row>
    <row r="12" spans="2:22" ht="18" customHeight="1" thickBot="1">
      <c r="B12" s="539" t="s">
        <v>248</v>
      </c>
      <c r="C12" s="594">
        <f t="shared" ref="C12:C16" si="0">IFERROR(DATE($B$6,MID(Q6,4,2),MID(Q6,1,2)),"")</f>
        <v>45649</v>
      </c>
      <c r="D12" s="595">
        <f>IFERROR(DATE($B$6,MID(Q6,13,2),MID(Q6,10,2)),C12)</f>
        <v>45296</v>
      </c>
      <c r="E12" s="783" t="s">
        <v>249</v>
      </c>
      <c r="F12" s="784"/>
      <c r="I12" s="540"/>
      <c r="J12" s="418" t="s">
        <v>113</v>
      </c>
      <c r="K12" s="419" t="s">
        <v>170</v>
      </c>
      <c r="L12" s="540"/>
      <c r="M12" s="540"/>
      <c r="Q12" s="541">
        <f>VALUE(MID(Q11,4,2))</f>
        <v>12</v>
      </c>
      <c r="R12" s="419"/>
      <c r="S12" s="419"/>
      <c r="T12" s="419"/>
      <c r="U12" s="419"/>
      <c r="V12" s="419"/>
    </row>
    <row r="13" spans="2:22" ht="18" customHeight="1">
      <c r="B13" s="539" t="s">
        <v>232</v>
      </c>
      <c r="C13" s="594">
        <f t="shared" si="0"/>
        <v>45374</v>
      </c>
      <c r="D13" s="595">
        <f t="shared" ref="D13:D16" si="1">IFERROR(DATE($B$6,MID(Q7,13,2),MID(Q7,10,2)),C13)</f>
        <v>45387</v>
      </c>
      <c r="F13" s="542"/>
      <c r="I13" s="540"/>
      <c r="J13" s="418" t="s">
        <v>114</v>
      </c>
      <c r="K13" s="419" t="s">
        <v>171</v>
      </c>
      <c r="L13" s="540"/>
      <c r="M13" s="540"/>
      <c r="P13" s="419"/>
      <c r="Q13" s="541">
        <f>VALUE(MID(Q11,13,2))</f>
        <v>1</v>
      </c>
      <c r="R13" s="419"/>
      <c r="S13" s="419"/>
      <c r="T13" s="419"/>
      <c r="U13" s="419"/>
      <c r="V13" s="419"/>
    </row>
    <row r="14" spans="2:22" ht="18" customHeight="1">
      <c r="B14" s="539" t="s">
        <v>22</v>
      </c>
      <c r="C14" s="594">
        <f>IFERROR(DATE($B$6,MID(Q8,4,2),MID(Q8,1,2)),"")</f>
        <v>45433</v>
      </c>
      <c r="D14" s="595">
        <f>IFERROR(DATE($B$6,MID(Q8,13,2),MID(Q8,10,2)),C14)</f>
        <v>45443</v>
      </c>
      <c r="E14" s="542"/>
      <c r="F14" s="542"/>
      <c r="J14" s="418" t="s">
        <v>116</v>
      </c>
      <c r="K14" s="419" t="s">
        <v>172</v>
      </c>
      <c r="Q14" s="541">
        <f>IF(Q12&gt;Q13,0,1)</f>
        <v>0</v>
      </c>
    </row>
    <row r="15" spans="2:22" ht="18" customHeight="1">
      <c r="B15" s="539" t="s">
        <v>23</v>
      </c>
      <c r="C15" s="594">
        <f t="shared" si="0"/>
        <v>45498</v>
      </c>
      <c r="D15" s="595">
        <f t="shared" si="1"/>
        <v>45542</v>
      </c>
      <c r="E15" s="542"/>
      <c r="F15" s="542"/>
      <c r="I15" s="543"/>
      <c r="J15" s="418" t="s">
        <v>119</v>
      </c>
      <c r="K15" s="419" t="s">
        <v>173</v>
      </c>
      <c r="L15" s="543"/>
      <c r="M15" s="543"/>
      <c r="N15" s="543"/>
      <c r="Q15" s="148"/>
    </row>
    <row r="16" spans="2:22" ht="18" customHeight="1">
      <c r="B16" s="539" t="s">
        <v>24</v>
      </c>
      <c r="C16" s="594">
        <f t="shared" si="0"/>
        <v>45593</v>
      </c>
      <c r="D16" s="595">
        <f t="shared" si="1"/>
        <v>45595</v>
      </c>
      <c r="E16" s="542"/>
      <c r="F16" s="542"/>
      <c r="I16" s="543"/>
      <c r="J16" s="418" t="s">
        <v>120</v>
      </c>
      <c r="K16" s="419" t="s">
        <v>125</v>
      </c>
      <c r="L16" s="543"/>
      <c r="M16" s="543"/>
      <c r="N16" s="543"/>
    </row>
    <row r="17" spans="2:22" ht="18" customHeight="1" thickBot="1">
      <c r="B17" s="544" t="s">
        <v>233</v>
      </c>
      <c r="C17" s="594">
        <f t="shared" ref="C17" si="2">DATE($B$6,MID(Q11,4,2),MID(Q11,1,2))</f>
        <v>45649</v>
      </c>
      <c r="D17" s="595">
        <f>IF(Q12=Q13,DATE($B$6,MID(Q11,13,2),MID(Q11,10,2)),DATE($B$6+1,MID(Q11,13,2),MID(Q11,10,2)))</f>
        <v>45661</v>
      </c>
      <c r="E17" s="542"/>
      <c r="F17" s="542"/>
      <c r="I17" s="525"/>
      <c r="J17" s="418" t="s">
        <v>122</v>
      </c>
      <c r="K17" s="419" t="s">
        <v>174</v>
      </c>
      <c r="L17" s="525"/>
      <c r="M17" s="525"/>
      <c r="N17" s="525"/>
      <c r="P17" s="785"/>
      <c r="Q17" s="785"/>
      <c r="R17" s="543"/>
      <c r="S17" s="543"/>
      <c r="T17" s="543"/>
      <c r="U17" s="543"/>
      <c r="V17" s="543"/>
    </row>
    <row r="18" spans="2:22" ht="18" customHeight="1" thickBot="1">
      <c r="B18" s="545" t="s">
        <v>188</v>
      </c>
      <c r="C18" s="546"/>
      <c r="D18" s="547"/>
      <c r="E18" s="542"/>
      <c r="F18" s="542"/>
      <c r="I18" s="542"/>
      <c r="J18" s="418" t="s">
        <v>124</v>
      </c>
      <c r="K18" s="419" t="s">
        <v>175</v>
      </c>
      <c r="L18" s="542"/>
      <c r="M18" s="542"/>
      <c r="N18" s="542"/>
      <c r="P18" s="785"/>
      <c r="Q18" s="785"/>
      <c r="R18" s="543"/>
      <c r="S18" s="543"/>
      <c r="T18" s="543"/>
      <c r="U18" s="543"/>
      <c r="V18" s="543"/>
    </row>
    <row r="19" spans="2:22" ht="18" customHeight="1" thickBot="1">
      <c r="B19" s="551" t="s">
        <v>253</v>
      </c>
      <c r="C19" s="557" t="str">
        <f>IF(C8="Bayern",DATE(B6,12,25)-WEEKDAY(DATE(B6,12,25),2)-32,"")</f>
        <v/>
      </c>
      <c r="D19" s="548" t="str">
        <f>C19</f>
        <v/>
      </c>
      <c r="E19" s="786" t="str">
        <f>IF(C8="Bayern","*Der Buß-u. Bettag ist in Bayern Schulfrei.","")</f>
        <v/>
      </c>
      <c r="F19" s="787"/>
      <c r="I19" s="542"/>
      <c r="J19" s="418" t="s">
        <v>126</v>
      </c>
      <c r="K19" s="583" t="s">
        <v>118</v>
      </c>
      <c r="L19" s="542"/>
      <c r="M19" s="542"/>
      <c r="N19" s="542"/>
      <c r="P19" s="785"/>
      <c r="Q19" s="785"/>
      <c r="R19" s="543"/>
      <c r="S19" s="543"/>
      <c r="T19" s="543"/>
      <c r="U19" s="543"/>
      <c r="V19" s="543"/>
    </row>
    <row r="20" spans="2:22" ht="18" customHeight="1" thickBot="1">
      <c r="B20" s="788" t="s">
        <v>254</v>
      </c>
      <c r="C20" s="558"/>
      <c r="D20" s="556">
        <f>C20</f>
        <v>0</v>
      </c>
      <c r="I20" s="542"/>
      <c r="J20" s="542"/>
      <c r="K20" s="542"/>
      <c r="L20" s="542"/>
      <c r="M20" s="542"/>
      <c r="N20" s="542"/>
      <c r="P20" s="531"/>
      <c r="Q20" s="531"/>
      <c r="R20" s="549"/>
      <c r="S20" s="549"/>
      <c r="T20" s="549"/>
      <c r="U20" s="549"/>
      <c r="V20" s="549"/>
    </row>
    <row r="21" spans="2:22" ht="18" customHeight="1" thickBot="1">
      <c r="B21" s="789"/>
      <c r="C21" s="559"/>
      <c r="D21" s="556"/>
      <c r="E21" s="769" t="s">
        <v>245</v>
      </c>
      <c r="F21" s="770"/>
      <c r="G21" s="771"/>
      <c r="I21" s="542"/>
      <c r="J21" s="542"/>
      <c r="K21" s="542"/>
      <c r="L21" s="542"/>
      <c r="M21" s="542"/>
      <c r="N21" s="542"/>
      <c r="P21" s="531"/>
      <c r="Q21" s="531"/>
      <c r="R21" s="549"/>
      <c r="S21" s="549"/>
      <c r="T21" s="549"/>
      <c r="U21" s="549"/>
      <c r="V21" s="549"/>
    </row>
    <row r="22" spans="2:22" ht="18" customHeight="1" thickBot="1">
      <c r="B22" s="790"/>
      <c r="C22" s="560"/>
      <c r="D22" s="556">
        <f>C22</f>
        <v>0</v>
      </c>
      <c r="E22" s="550"/>
      <c r="I22" s="542"/>
      <c r="J22" s="542"/>
      <c r="K22" s="542"/>
      <c r="L22" s="542"/>
      <c r="M22" s="542"/>
      <c r="N22" s="542"/>
      <c r="P22" s="785"/>
      <c r="Q22" s="785"/>
      <c r="R22" s="543"/>
      <c r="S22" s="543"/>
      <c r="T22" s="543"/>
      <c r="U22" s="543"/>
      <c r="V22" s="543"/>
    </row>
    <row r="23" spans="2:22" ht="18" customHeight="1">
      <c r="E23" s="550"/>
      <c r="I23" s="542"/>
      <c r="J23" s="542"/>
      <c r="K23" s="542"/>
      <c r="L23" s="542"/>
      <c r="M23" s="542"/>
      <c r="N23" s="542"/>
      <c r="P23" s="785"/>
      <c r="Q23" s="785"/>
      <c r="R23" s="543"/>
      <c r="S23" s="543"/>
      <c r="T23" s="543"/>
      <c r="U23" s="543"/>
      <c r="V23" s="543"/>
    </row>
    <row r="24" spans="2:22" ht="18" customHeight="1">
      <c r="B24" s="791"/>
      <c r="C24" s="791"/>
      <c r="D24" s="791"/>
      <c r="E24" s="418"/>
      <c r="G24" s="542"/>
      <c r="H24" s="542"/>
      <c r="I24" s="542"/>
      <c r="J24" s="542"/>
      <c r="K24" s="542"/>
      <c r="L24" s="542"/>
      <c r="M24" s="542"/>
      <c r="N24" s="542"/>
      <c r="P24" s="785"/>
      <c r="Q24" s="785"/>
      <c r="R24" s="543"/>
      <c r="S24" s="543"/>
      <c r="T24" s="543"/>
      <c r="U24" s="543"/>
      <c r="V24" s="543"/>
    </row>
    <row r="25" spans="2:22" ht="18" customHeight="1">
      <c r="G25" s="542"/>
      <c r="H25" s="542"/>
      <c r="I25" s="542"/>
      <c r="J25" s="542"/>
      <c r="K25" s="542"/>
      <c r="L25" s="542"/>
      <c r="M25" s="542"/>
      <c r="N25" s="542"/>
      <c r="P25" s="785"/>
      <c r="Q25" s="785"/>
      <c r="R25" s="543"/>
      <c r="S25" s="543"/>
      <c r="T25" s="543"/>
      <c r="U25" s="543"/>
      <c r="V25" s="543"/>
    </row>
    <row r="26" spans="2:22" ht="24.75" customHeight="1">
      <c r="P26" s="785"/>
      <c r="Q26" s="785"/>
      <c r="R26" s="543"/>
      <c r="S26" s="543"/>
      <c r="T26" s="543"/>
      <c r="U26" s="543"/>
      <c r="V26" s="543"/>
    </row>
    <row r="27" spans="2:22" ht="24.75" customHeight="1">
      <c r="P27" s="785"/>
      <c r="Q27" s="785"/>
      <c r="R27" s="543"/>
      <c r="S27" s="543"/>
      <c r="T27" s="543"/>
      <c r="U27" s="543"/>
      <c r="V27" s="543"/>
    </row>
    <row r="28" spans="2:22" ht="24.75" customHeight="1">
      <c r="P28" s="785"/>
      <c r="Q28" s="785"/>
      <c r="R28" s="543"/>
      <c r="S28" s="543"/>
      <c r="T28" s="543"/>
      <c r="U28" s="543"/>
      <c r="V28" s="543"/>
    </row>
    <row r="29" spans="2:22" ht="24.75" customHeight="1"/>
    <row r="30" spans="2:22" ht="24.75" customHeight="1"/>
  </sheetData>
  <sheetProtection sheet="1" selectLockedCells="1"/>
  <mergeCells count="22">
    <mergeCell ref="P28:Q28"/>
    <mergeCell ref="B20:B22"/>
    <mergeCell ref="P23:Q23"/>
    <mergeCell ref="B24:D24"/>
    <mergeCell ref="P24:Q24"/>
    <mergeCell ref="P25:Q25"/>
    <mergeCell ref="P26:Q26"/>
    <mergeCell ref="P22:Q22"/>
    <mergeCell ref="P17:Q17"/>
    <mergeCell ref="P18:Q18"/>
    <mergeCell ref="E19:F19"/>
    <mergeCell ref="P19:Q19"/>
    <mergeCell ref="P27:Q27"/>
    <mergeCell ref="F9:H9"/>
    <mergeCell ref="E21:G21"/>
    <mergeCell ref="F8:H8"/>
    <mergeCell ref="C2:D2"/>
    <mergeCell ref="E2:F2"/>
    <mergeCell ref="G2:H2"/>
    <mergeCell ref="F5:G5"/>
    <mergeCell ref="C8:D8"/>
    <mergeCell ref="E12:F12"/>
  </mergeCells>
  <conditionalFormatting sqref="E12:F12">
    <cfRule type="expression" dxfId="27" priority="1">
      <formula>$E$19=""</formula>
    </cfRule>
  </conditionalFormatting>
  <conditionalFormatting sqref="E19:F19">
    <cfRule type="expression" dxfId="26" priority="2">
      <formula>$E$19=""</formula>
    </cfRule>
  </conditionalFormatting>
  <dataValidations count="1">
    <dataValidation type="list" allowBlank="1" showInputMessage="1" showErrorMessage="1" sqref="C8:D8" xr:uid="{155A90A1-8888-455D-AAA2-5F95B7658E3E}">
      <formula1>$J$4:$J$19</formula1>
    </dataValidation>
  </dataValidations>
  <hyperlinks>
    <hyperlink ref="E2" r:id="rId1" xr:uid="{C2752701-82CB-4DDC-BD9C-239047B26077}"/>
  </hyperlinks>
  <pageMargins left="0.7" right="0.7" top="0.78749999999999998" bottom="0.78749999999999998" header="0.51180555555555551" footer="0.51180555555555551"/>
  <pageSetup firstPageNumber="0" orientation="portrait" horizontalDpi="300" verticalDpi="300" r:id="rId2"/>
  <headerFooter alignWithMargins="0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CD85F-3233-42A8-AF50-D6C358D5BFD3}">
  <sheetPr>
    <tabColor rgb="FFCCFFCC"/>
    <pageSetUpPr fitToPage="1"/>
  </sheetPr>
  <dimension ref="B1:BY75"/>
  <sheetViews>
    <sheetView showGridLines="0" showRowColHeaders="0" zoomScale="70" zoomScaleNormal="70" workbookViewId="0">
      <pane ySplit="37" topLeftCell="A38" activePane="bottomLeft" state="frozen"/>
      <selection pane="bottomLeft" activeCell="AB63" sqref="AB63"/>
    </sheetView>
  </sheetViews>
  <sheetFormatPr baseColWidth="10" defaultColWidth="14" defaultRowHeight="15"/>
  <cols>
    <col min="1" max="1" width="21.7109375" style="30" customWidth="1"/>
    <col min="2" max="2" width="10.42578125" style="49" customWidth="1"/>
    <col min="3" max="4" width="4.85546875" style="49" customWidth="1"/>
    <col min="5" max="5" width="4.85546875" style="49" hidden="1" customWidth="1"/>
    <col min="6" max="6" width="3.28515625" style="233" customWidth="1"/>
    <col min="7" max="7" width="10.42578125" style="49" customWidth="1"/>
    <col min="8" max="9" width="4.85546875" style="49" customWidth="1"/>
    <col min="10" max="10" width="4.85546875" style="49" hidden="1" customWidth="1"/>
    <col min="11" max="11" width="3.28515625" style="233" customWidth="1"/>
    <col min="12" max="12" width="10.42578125" style="49" customWidth="1"/>
    <col min="13" max="14" width="4.85546875" style="49" customWidth="1"/>
    <col min="15" max="15" width="4.85546875" style="49" hidden="1" customWidth="1"/>
    <col min="16" max="16" width="3.28515625" style="234" customWidth="1"/>
    <col min="17" max="17" width="10.42578125" style="49" customWidth="1"/>
    <col min="18" max="19" width="4.85546875" style="49" customWidth="1"/>
    <col min="20" max="20" width="4.85546875" style="49" hidden="1" customWidth="1"/>
    <col min="21" max="21" width="3.28515625" style="234" customWidth="1"/>
    <col min="22" max="22" width="10.42578125" style="49" customWidth="1"/>
    <col min="23" max="24" width="4.85546875" style="49" customWidth="1"/>
    <col min="25" max="25" width="4.85546875" style="49" hidden="1" customWidth="1"/>
    <col min="26" max="26" width="3.28515625" style="234" customWidth="1"/>
    <col min="27" max="27" width="10.42578125" style="49" customWidth="1"/>
    <col min="28" max="29" width="4.85546875" style="49" customWidth="1"/>
    <col min="30" max="30" width="4.85546875" style="49" hidden="1" customWidth="1"/>
    <col min="31" max="31" width="3.28515625" style="235" customWidth="1"/>
    <col min="32" max="32" width="10.42578125" style="30" customWidth="1"/>
    <col min="33" max="34" width="4.85546875" style="30" customWidth="1"/>
    <col min="35" max="35" width="4.85546875" style="30" hidden="1" customWidth="1"/>
    <col min="36" max="36" width="3.28515625" style="235" customWidth="1"/>
    <col min="37" max="37" width="10.42578125" style="30" customWidth="1"/>
    <col min="38" max="39" width="4.85546875" style="30" customWidth="1"/>
    <col min="40" max="40" width="4.85546875" style="30" hidden="1" customWidth="1"/>
    <col min="41" max="41" width="3.28515625" style="235" customWidth="1"/>
    <col min="42" max="42" width="10.42578125" style="30" customWidth="1"/>
    <col min="43" max="44" width="4.85546875" style="30" customWidth="1"/>
    <col min="45" max="45" width="4.85546875" style="30" hidden="1" customWidth="1"/>
    <col min="46" max="46" width="3.28515625" style="235" customWidth="1"/>
    <col min="47" max="47" width="10.42578125" style="30" customWidth="1"/>
    <col min="48" max="49" width="4.85546875" style="30" customWidth="1"/>
    <col min="50" max="50" width="4.85546875" style="30" hidden="1" customWidth="1"/>
    <col min="51" max="51" width="3.28515625" style="235" customWidth="1"/>
    <col min="52" max="52" width="10.42578125" style="30" customWidth="1"/>
    <col min="53" max="54" width="4.85546875" style="30" customWidth="1"/>
    <col min="55" max="55" width="4.85546875" style="30" hidden="1" customWidth="1"/>
    <col min="56" max="56" width="3.28515625" style="235" customWidth="1"/>
    <col min="57" max="57" width="10.42578125" style="30" customWidth="1"/>
    <col min="58" max="59" width="4.85546875" style="30" customWidth="1"/>
    <col min="60" max="60" width="4.85546875" style="30" hidden="1" customWidth="1"/>
    <col min="61" max="61" width="3.28515625" style="235" customWidth="1"/>
    <col min="62" max="63" width="17.7109375" style="30" customWidth="1"/>
    <col min="64" max="64" width="12.42578125" style="30" customWidth="1"/>
    <col min="65" max="65" width="5.85546875" style="30" customWidth="1"/>
    <col min="66" max="66" width="11.42578125" style="30" customWidth="1"/>
    <col min="67" max="67" width="5.28515625" style="30" customWidth="1"/>
    <col min="68" max="68" width="7.7109375" style="235" customWidth="1"/>
    <col min="69" max="69" width="14" style="236"/>
    <col min="70" max="71" width="14" style="238"/>
    <col min="72" max="16384" width="14" style="30"/>
  </cols>
  <sheetData>
    <row r="1" spans="2:77" ht="27.75" customHeight="1" thickTop="1" thickBot="1">
      <c r="B1" s="802" t="str">
        <f ca="1">"Feiertage, Ferientage und Brückentage "&amp;BJ1&amp;" entsprechend der Auswahl"</f>
        <v>Feiertage, Ferientage und Brückentage 2024 entsprechend der Auswahl</v>
      </c>
      <c r="C1" s="803"/>
      <c r="D1" s="803"/>
      <c r="E1" s="803"/>
      <c r="F1" s="803"/>
      <c r="G1" s="803"/>
      <c r="H1" s="803"/>
      <c r="I1" s="803"/>
      <c r="J1" s="803"/>
      <c r="K1" s="803"/>
      <c r="L1" s="803"/>
      <c r="M1" s="803"/>
      <c r="N1" s="803"/>
      <c r="O1" s="803"/>
      <c r="P1" s="803"/>
      <c r="Q1" s="803"/>
      <c r="R1" s="803"/>
      <c r="S1" s="803"/>
      <c r="T1" s="803"/>
      <c r="U1" s="803"/>
      <c r="V1" s="803"/>
      <c r="W1" s="803"/>
      <c r="X1" s="803"/>
      <c r="Y1" s="803"/>
      <c r="Z1" s="803"/>
      <c r="AA1" s="803"/>
      <c r="AB1" s="803"/>
      <c r="AC1" s="803"/>
      <c r="AD1" s="803"/>
      <c r="AE1" s="803"/>
      <c r="AF1" s="803"/>
      <c r="AG1" s="803"/>
      <c r="AH1" s="803"/>
      <c r="AI1" s="803"/>
      <c r="AJ1" s="803"/>
      <c r="AK1" s="803"/>
      <c r="AL1" s="803"/>
      <c r="AM1" s="803"/>
      <c r="AN1" s="803"/>
      <c r="AO1" s="803"/>
      <c r="AP1" s="803"/>
      <c r="AQ1" s="803"/>
      <c r="AR1" s="803"/>
      <c r="AS1" s="803"/>
      <c r="AT1" s="803"/>
      <c r="AU1" s="803"/>
      <c r="AV1" s="803"/>
      <c r="AW1" s="803"/>
      <c r="AX1" s="803"/>
      <c r="AY1" s="803"/>
      <c r="AZ1" s="803"/>
      <c r="BA1" s="803"/>
      <c r="BB1" s="803"/>
      <c r="BC1" s="803"/>
      <c r="BD1" s="803"/>
      <c r="BE1" s="803"/>
      <c r="BF1" s="803"/>
      <c r="BG1" s="804"/>
      <c r="BH1" s="327"/>
      <c r="BJ1" s="299">
        <f ca="1">Feiertage!C1</f>
        <v>2024</v>
      </c>
    </row>
    <row r="2" spans="2:77" s="240" customFormat="1" ht="26.25" customHeight="1" thickTop="1" thickBot="1">
      <c r="B2" s="805" t="s">
        <v>147</v>
      </c>
      <c r="C2" s="806"/>
      <c r="D2" s="807"/>
      <c r="E2" s="297"/>
      <c r="F2" s="300"/>
      <c r="G2" s="808" t="s">
        <v>148</v>
      </c>
      <c r="H2" s="809"/>
      <c r="I2" s="810"/>
      <c r="J2" s="323"/>
      <c r="K2" s="318"/>
      <c r="L2" s="805" t="s">
        <v>149</v>
      </c>
      <c r="M2" s="806"/>
      <c r="N2" s="807"/>
      <c r="O2" s="325"/>
      <c r="P2" s="319"/>
      <c r="Q2" s="808" t="s">
        <v>150</v>
      </c>
      <c r="R2" s="809"/>
      <c r="S2" s="810"/>
      <c r="T2" s="326"/>
      <c r="U2" s="273"/>
      <c r="V2" s="805" t="s">
        <v>151</v>
      </c>
      <c r="W2" s="806"/>
      <c r="X2" s="807"/>
      <c r="Y2" s="325"/>
      <c r="Z2" s="272"/>
      <c r="AA2" s="808" t="s">
        <v>152</v>
      </c>
      <c r="AB2" s="809"/>
      <c r="AC2" s="810"/>
      <c r="AD2" s="323"/>
      <c r="AE2" s="274"/>
      <c r="AF2" s="805" t="s">
        <v>153</v>
      </c>
      <c r="AG2" s="806"/>
      <c r="AH2" s="807"/>
      <c r="AI2" s="325"/>
      <c r="AJ2" s="271"/>
      <c r="AK2" s="808" t="s">
        <v>154</v>
      </c>
      <c r="AL2" s="809"/>
      <c r="AM2" s="810"/>
      <c r="AN2" s="326"/>
      <c r="AO2" s="271"/>
      <c r="AP2" s="805" t="s">
        <v>155</v>
      </c>
      <c r="AQ2" s="806"/>
      <c r="AR2" s="807"/>
      <c r="AS2" s="325"/>
      <c r="AT2" s="271"/>
      <c r="AU2" s="808" t="s">
        <v>156</v>
      </c>
      <c r="AV2" s="809"/>
      <c r="AW2" s="810"/>
      <c r="AX2" s="326"/>
      <c r="AY2" s="271"/>
      <c r="AZ2" s="805" t="s">
        <v>157</v>
      </c>
      <c r="BA2" s="806"/>
      <c r="BB2" s="807"/>
      <c r="BC2" s="325"/>
      <c r="BD2" s="271"/>
      <c r="BE2" s="808" t="s">
        <v>158</v>
      </c>
      <c r="BF2" s="809"/>
      <c r="BG2" s="810"/>
      <c r="BH2" s="323"/>
      <c r="BI2" s="237"/>
      <c r="BJ2" s="238"/>
      <c r="BK2" s="238"/>
      <c r="BL2" s="238"/>
      <c r="BM2" s="238"/>
      <c r="BN2" s="238"/>
      <c r="BO2" s="238"/>
      <c r="BP2" s="235"/>
      <c r="BQ2" s="236"/>
      <c r="BR2" s="239"/>
      <c r="BS2" s="239"/>
      <c r="BT2" s="239"/>
      <c r="BU2" s="239"/>
      <c r="BV2" s="239"/>
      <c r="BW2" s="239"/>
      <c r="BX2" s="239"/>
      <c r="BY2" s="239"/>
    </row>
    <row r="3" spans="2:77" s="249" customFormat="1" ht="8.25" customHeight="1" thickTop="1" thickBot="1">
      <c r="B3" s="322"/>
      <c r="C3" s="298"/>
      <c r="D3" s="321"/>
      <c r="E3" s="298"/>
      <c r="F3" s="241"/>
      <c r="G3" s="301"/>
      <c r="H3" s="298"/>
      <c r="I3" s="298"/>
      <c r="J3" s="298"/>
      <c r="K3" s="242"/>
      <c r="L3" s="301"/>
      <c r="M3" s="298"/>
      <c r="N3" s="298"/>
      <c r="O3" s="298"/>
      <c r="P3" s="243"/>
      <c r="Q3" s="301"/>
      <c r="R3" s="298"/>
      <c r="S3" s="298"/>
      <c r="T3" s="298"/>
      <c r="U3" s="244"/>
      <c r="V3" s="301"/>
      <c r="W3" s="298"/>
      <c r="X3" s="298"/>
      <c r="Y3" s="298"/>
      <c r="Z3" s="243"/>
      <c r="AA3" s="301"/>
      <c r="AB3" s="298"/>
      <c r="AC3" s="298"/>
      <c r="AD3" s="298"/>
      <c r="AE3" s="245"/>
      <c r="AF3" s="301">
        <f ca="1">EDATE(AA4,1)</f>
        <v>45474</v>
      </c>
      <c r="AG3" s="298"/>
      <c r="AH3" s="298"/>
      <c r="AI3" s="298"/>
      <c r="AJ3" s="241"/>
      <c r="AK3" s="301">
        <f ca="1">EDATE(AF3,1)</f>
        <v>45505</v>
      </c>
      <c r="AL3" s="298"/>
      <c r="AM3" s="298"/>
      <c r="AN3" s="298"/>
      <c r="AO3" s="241"/>
      <c r="AP3" s="301">
        <f ca="1">EDATE(AK3,1)</f>
        <v>45536</v>
      </c>
      <c r="AQ3" s="298"/>
      <c r="AR3" s="298"/>
      <c r="AS3" s="298"/>
      <c r="AT3" s="241"/>
      <c r="AU3" s="301">
        <f ca="1">EDATE(AP3,1)</f>
        <v>45566</v>
      </c>
      <c r="AV3" s="298"/>
      <c r="AW3" s="298"/>
      <c r="AX3" s="298"/>
      <c r="AY3" s="241"/>
      <c r="AZ3" s="301"/>
      <c r="BA3" s="298"/>
      <c r="BB3" s="298"/>
      <c r="BC3" s="298"/>
      <c r="BD3" s="241"/>
      <c r="BE3" s="301">
        <f>EDATE(AZ3,1)</f>
        <v>31</v>
      </c>
      <c r="BF3" s="320"/>
      <c r="BG3" s="321"/>
      <c r="BH3" s="298"/>
      <c r="BI3" s="246"/>
      <c r="BJ3" s="247"/>
      <c r="BK3" s="247"/>
      <c r="BL3" s="247"/>
      <c r="BM3" s="247"/>
      <c r="BN3" s="247"/>
      <c r="BO3" s="247"/>
      <c r="BP3" s="233"/>
      <c r="BQ3" s="236"/>
      <c r="BR3" s="248"/>
      <c r="BS3" s="248"/>
      <c r="BT3" s="248"/>
      <c r="BU3" s="248"/>
      <c r="BV3" s="248"/>
      <c r="BW3" s="248"/>
      <c r="BX3" s="248"/>
      <c r="BY3" s="248"/>
    </row>
    <row r="4" spans="2:77" ht="19.5" customHeight="1" thickTop="1">
      <c r="B4" s="250">
        <f ca="1">DATE(BJ1,1,1)</f>
        <v>45292</v>
      </c>
      <c r="C4" s="572" t="str">
        <f ca="1">IF(E4=1,"{","")</f>
        <v/>
      </c>
      <c r="D4" s="316" t="str">
        <f ca="1">IFERROR(VLOOKUP(B4,Mond!$B$3:$C$59,2,0),"")</f>
        <v/>
      </c>
      <c r="E4" s="302" t="str">
        <f ca="1">IFERROR(IF(VLOOKUP(B4,Gießtage!$L$8:$L$98,1,0),1,0),"")</f>
        <v/>
      </c>
      <c r="F4" s="251">
        <f ca="1">IF(AND(OR(AND(B4&gt;=Ferien!$C$11,B4&lt;=Ferien!$D$11),AND(B4&gt;=Ferien!$C$12,B4&lt;=Ferien!$D$12),AND(B4&gt;=Ferien!$C$13,B4&lt;=Ferien!$D$13),AND(B4&gt;=Ferien!$C$14,B4&lt;=Ferien!$D$14),AND(B4&gt;=Ferien!$C$15,B4&lt;=Ferien!$D$15),AND(B4&gt;=Ferien!$C$16,B4&lt;=Ferien!$D$16),AND(B4&gt;=Ferien!$C$17,B4&lt;=Ferien!$D$17),AND(B4&gt;=Ferien!$C$18,B4&lt;=Ferien!$D$18),AND(B4&gt;=Ferien!$C$19,B4&lt;=Ferien!$D$19),AND(B4&gt;=Ferien!$C$20,B4&lt;=Ferien!$D$20),AND(B4&gt;=Ferien!$C$21,B4&lt;=Ferien!$D$21))),1,0)</f>
        <v>1</v>
      </c>
      <c r="G4" s="250">
        <f ca="1">DATE(BJ1,2,1)</f>
        <v>45323</v>
      </c>
      <c r="H4" s="572" t="s">
        <v>258</v>
      </c>
      <c r="I4" s="316" t="str">
        <f ca="1">IFERROR(VLOOKUP(G4,Mond!$B$3:$C$59,2,0),"")</f>
        <v/>
      </c>
      <c r="J4" s="302" t="str">
        <f ca="1">IFERROR(IF(VLOOKUP(G4,Gießtage!$L$8:$L$98,1,0),1,0),"")</f>
        <v/>
      </c>
      <c r="K4" s="251">
        <f ca="1">IF(AND(OR(AND(G4&gt;=Ferien!$C$11,G4&lt;=Ferien!$D$11),AND(G4&gt;=Ferien!$C$12,G4&lt;=Ferien!$D$12),AND(G4&gt;=Ferien!$C$13,G4&lt;=Ferien!$D$13),AND(G4&gt;=Ferien!$C$14,G4&lt;=Ferien!$D$14),AND(G4&gt;=Ferien!$C$15,G4&lt;=Ferien!$D$15),AND(G4&gt;=Ferien!$C$16,G4&lt;=Ferien!$D$16),AND(G4&gt;=Ferien!$C$17,G4&lt;=Ferien!$D$17),AND(G4&gt;=Ferien!$C$18,G4&lt;=Ferien!$D$18),AND(G4&gt;=Ferien!$C$19,G4&lt;=Ferien!$D$19),AND(G4&gt;=Ferien!$C$20,G4&lt;=Ferien!$D$20),AND(G4&gt;=Ferien!$C$21,G4&lt;=Ferien!$D$21))),1,0)</f>
        <v>0</v>
      </c>
      <c r="L4" s="250">
        <f ca="1">DATE(BJ1,3,1)</f>
        <v>45352</v>
      </c>
      <c r="M4" s="572" t="str">
        <f ca="1">IF(O4=1,"{","")</f>
        <v>{</v>
      </c>
      <c r="N4" s="316" t="str">
        <f ca="1">IFERROR(VLOOKUP(L4,Mond!$B$3:$C$59,2,0),"")</f>
        <v/>
      </c>
      <c r="O4" s="302">
        <f ca="1">IFERROR(IF(VLOOKUP(L4,Gießtage!$L$8:$L$98,1,0),1,0),"")</f>
        <v>1</v>
      </c>
      <c r="P4" s="251">
        <f ca="1">IF(AND(OR(AND(L4&gt;=Ferien!$C$11,L4&lt;=Ferien!$D$11),AND(L4&gt;=Ferien!$C$12,L4&lt;=Ferien!$D$12),AND(L4&gt;=Ferien!$C$13,L4&lt;=Ferien!$D$13),AND(L4&gt;=Ferien!$C$14,L4&lt;=Ferien!$D$14),AND(L4&gt;=Ferien!$C$15,L4&lt;=Ferien!$D$15),AND(L4&gt;=Ferien!$C$16,L4&lt;=Ferien!$D$16),AND(L4&gt;=Ferien!$C$17,L4&lt;=Ferien!$D$17),AND(L4&gt;=Ferien!$C$18,L4&lt;=Ferien!$D$18),AND(L4&gt;=Ferien!$C$19,L4&lt;=Ferien!$D$19),AND(L4&gt;=Ferien!$C$20,L4&lt;=Ferien!$D$20),AND(L4&gt;=Ferien!$C$21,L4&lt;=Ferien!$D$21))),1,0)</f>
        <v>0</v>
      </c>
      <c r="Q4" s="250">
        <f ca="1">DATE(BJ1,4,1)</f>
        <v>45383</v>
      </c>
      <c r="R4" s="572" t="str">
        <f ca="1">IF(T4=1,"{","")</f>
        <v/>
      </c>
      <c r="S4" s="316" t="str">
        <f ca="1">IFERROR(VLOOKUP(Q4,Mond!$B$3:$C$59,2,0),"")</f>
        <v/>
      </c>
      <c r="T4" s="302" t="str">
        <f ca="1">IFERROR(IF(VLOOKUP(Q4,Gießtage!$L$8:$L$98,1,0),1,0),"")</f>
        <v/>
      </c>
      <c r="U4" s="251">
        <f ca="1">IF(AND(OR(AND(Q4&gt;=Ferien!$C$11,Q4&lt;=Ferien!$D$11),AND(Q4&gt;=Ferien!$C$12,Q4&lt;=Ferien!$D$12),AND(Q4&gt;=Ferien!$C$13,Q4&lt;=Ferien!$D$13),AND(Q4&gt;=Ferien!$C$14,Q4&lt;=Ferien!$D$14),AND(Q4&gt;=Ferien!$C$15,Q4&lt;=Ferien!$D$15),AND(Q4&gt;=Ferien!$C$16,Q4&lt;=Ferien!$D$16),AND(Q4&gt;=Ferien!$C$17,Q4&lt;=Ferien!$D$17),AND(Q4&gt;=Ferien!$C$18,Q4&lt;=Ferien!$D$18),AND(Q4&gt;=Ferien!$C$19,Q4&lt;=Ferien!$D$19),AND(Q4&gt;=Ferien!$C$20,Q4&lt;=Ferien!$D$20),AND(Q4&gt;=Ferien!$C$21,Q4&lt;=Ferien!$D$21))),1,0)</f>
        <v>1</v>
      </c>
      <c r="V4" s="250">
        <f ca="1">DATE(BJ1,5,1)</f>
        <v>45413</v>
      </c>
      <c r="W4" s="572" t="str">
        <f ca="1">IF(Y4=1,"{","")</f>
        <v/>
      </c>
      <c r="X4" s="316" t="str">
        <f ca="1">IFERROR(VLOOKUP(V4,Mond!$B$3:$C$59,2,0),"")</f>
        <v>T</v>
      </c>
      <c r="Y4" s="302" t="str">
        <f ca="1">IFERROR(IF(VLOOKUP(V4,Gießtage!$L$8:$L$98,1,0),1,0),"")</f>
        <v/>
      </c>
      <c r="Z4" s="251">
        <f ca="1">IF(AND(OR(AND(V4&gt;=Ferien!$C$11,V4&lt;=Ferien!$D$11),AND(V4&gt;=Ferien!$C$12,V4&lt;=Ferien!$D$12),AND(V4&gt;=Ferien!$C$13,V4&lt;=Ferien!$D$13),AND(V4&gt;=Ferien!$C$14,V4&lt;=Ferien!$D$14),AND(V4&gt;=Ferien!$C$15,V4&lt;=Ferien!$D$15),AND(V4&gt;=Ferien!$C$16,V4&lt;=Ferien!$D$16),AND(V4&gt;=Ferien!$C$17,V4&lt;=Ferien!$D$17),AND(V4&gt;=Ferien!$C$18,V4&lt;=Ferien!$D$18),AND(V4&gt;=Ferien!$C$19,V4&lt;=Ferien!$D$19),AND(V4&gt;=Ferien!$C$20,V4&lt;=Ferien!$D$20),AND(V4&gt;=Ferien!$C$21,V4&lt;=Ferien!$D$21))),1,0)</f>
        <v>0</v>
      </c>
      <c r="AA4" s="250">
        <f ca="1">DATE(BJ1,6,1)</f>
        <v>45444</v>
      </c>
      <c r="AB4" s="572" t="str">
        <f ca="1">IF(AD4=1,"{","")</f>
        <v/>
      </c>
      <c r="AC4" s="316" t="str">
        <f ca="1">IFERROR(VLOOKUP(AA4,Mond!$B$3:$C$59,2,0),"")</f>
        <v/>
      </c>
      <c r="AD4" s="302" t="str">
        <f ca="1">IFERROR(IF(VLOOKUP(AA4,Gießtage!$L$8:$L$98,1,0),1,0),"")</f>
        <v/>
      </c>
      <c r="AE4" s="251">
        <f ca="1">IF(AND(OR(AND(AA4&gt;=Ferien!$C$11,AA4&lt;=Ferien!$D$11),AND(AA4&gt;=Ferien!$C$12,AA4&lt;=Ferien!$D$12),AND(AA4&gt;=Ferien!$C$13,AA4&lt;=Ferien!$D$13),AND(AA4&gt;=Ferien!$C$14,AA4&lt;=Ferien!$D$14),AND(AA4&gt;=Ferien!$C$15,AA4&lt;=Ferien!$D$15),AND(AA4&gt;=Ferien!$C$16,AA4&lt;=Ferien!$D$16),AND(AA4&gt;=Ferien!$C$17,AA4&lt;=Ferien!$D$17),AND(AA4&gt;=Ferien!$C$18,AA4&lt;=Ferien!$D$18),AND(AA4&gt;=Ferien!$C$19,AA4&lt;=Ferien!$D$19),AND(AA4&gt;=Ferien!$C$20,AA4&lt;=Ferien!$D$20),AND(AA4&gt;=Ferien!$C$21,AA4&lt;=Ferien!$D$21))),1,0)</f>
        <v>0</v>
      </c>
      <c r="AF4" s="250">
        <f ca="1">DATE(BJ1,7,1)</f>
        <v>45474</v>
      </c>
      <c r="AG4" s="572" t="str">
        <f ca="1">IF(AI4=1,"{","")</f>
        <v/>
      </c>
      <c r="AH4" s="316" t="str">
        <f ca="1">IFERROR(VLOOKUP(AF4,Mond!$B$3:$C$59,2,0),"")</f>
        <v/>
      </c>
      <c r="AI4" s="302" t="str">
        <f ca="1">IFERROR(IF(VLOOKUP(AF4,Gießtage!$L$8:$L$98,1,0),1,0),"")</f>
        <v/>
      </c>
      <c r="AJ4" s="251">
        <f ca="1">IF(AND(OR(AND(AF4&gt;=Ferien!$C$11,AF4&lt;=Ferien!$D$11),AND(AF4&gt;=Ferien!$C$12,AF4&lt;=Ferien!$D$12),AND(AF4&gt;=Ferien!$C$13,AF4&lt;=Ferien!$D$13),AND(AF4&gt;=Ferien!$C$14,AF4&lt;=Ferien!$D$14),AND(AF4&gt;=Ferien!$C$15,AF4&lt;=Ferien!$D$15),AND(AF4&gt;=Ferien!$C$16,AF4&lt;=Ferien!$D$16),AND(AF4&gt;=Ferien!$C$17,AF4&lt;=Ferien!$D$17),AND(AF4&gt;=Ferien!$C$18,AF4&lt;=Ferien!$D$18),AND(AF4&gt;=Ferien!$C$19,AF4&lt;=Ferien!$D$19),AND(AF4&gt;=Ferien!$C$20,AF4&lt;=Ferien!$D$20),AND(AF4&gt;=Ferien!$C$21,AF4&lt;=Ferien!$D$21))),1,0)</f>
        <v>0</v>
      </c>
      <c r="AK4" s="250">
        <f ca="1">DATE(BJ1,8,1)</f>
        <v>45505</v>
      </c>
      <c r="AL4" s="572" t="str">
        <f ca="1">IF(AN4=1,"{","")</f>
        <v/>
      </c>
      <c r="AM4" s="316" t="str">
        <f ca="1">IFERROR(VLOOKUP(AK4,Mond!$B$3:$C$59,2,0),"")</f>
        <v/>
      </c>
      <c r="AN4" s="302" t="str">
        <f ca="1">IFERROR(IF(VLOOKUP(AK34,Gießtage!$L$8:$L$98,1,0),1,0),"")</f>
        <v/>
      </c>
      <c r="AO4" s="251">
        <f ca="1">IF(AND(OR(AND(AK4&gt;=Ferien!$C$11,AK4&lt;=Ferien!$D$11),AND(AK4&gt;=Ferien!$C$12,AK4&lt;=Ferien!$D$12),AND(AK4&gt;=Ferien!$C$13,AK4&lt;=Ferien!$D$13),AND(AK4&gt;=Ferien!$C$14,AK4&lt;=Ferien!$D$14),AND(AK4&gt;=Ferien!$C$15,AK4&lt;=Ferien!$D$15),AND(AK4&gt;=Ferien!$C$16,AK4&lt;=Ferien!$D$16),AND(AK4&gt;=Ferien!$C$17,AK4&lt;=Ferien!$D$17),AND(AK4&gt;=Ferien!$C$18,AK4&lt;=Ferien!$D$18),AND(AK4&gt;=Ferien!$C$19,AK4&lt;=Ferien!$D$19),AND(AK4&gt;=Ferien!$C$20,AK4&lt;=Ferien!$D$20),AND(AK4&gt;=Ferien!$C$21,AK4&lt;=Ferien!$D$21))),1,0)</f>
        <v>1</v>
      </c>
      <c r="AP4" s="250">
        <f ca="1">DATE(BJ1,9,1)</f>
        <v>45536</v>
      </c>
      <c r="AQ4" s="572" t="str">
        <f ca="1">IF(AS4=1,"{","")</f>
        <v/>
      </c>
      <c r="AR4" s="316" t="str">
        <f ca="1">IFERROR(VLOOKUP(AP4,Mond!$B$3:$C$59,2,0),"")</f>
        <v/>
      </c>
      <c r="AS4" s="302" t="str">
        <f ca="1">IFERROR(IF(VLOOKUP(AP4,Gießtage!$L$8:$L$98,1,0),1,0),"")</f>
        <v/>
      </c>
      <c r="AT4" s="251">
        <f ca="1">IF(AND(OR(AND(AP4&gt;=Ferien!$C$11,AP4&lt;=Ferien!$D$11),AND(AP4&gt;=Ferien!$C$12,AP4&lt;=Ferien!$D$12),AND(AP4&gt;=Ferien!$C$13,AP4&lt;=Ferien!$D$13),AND(AP4&gt;=Ferien!$C$14,AP4&lt;=Ferien!$D$14),AND(AP4&gt;=Ferien!$C$15,AP4&lt;=Ferien!$D$15),AND(AP4&gt;=Ferien!$C$16,AP4&lt;=Ferien!$D$16),AND(AP4&gt;=Ferien!$C$17,AP4&lt;=Ferien!$D$17),AND(AP4&gt;=Ferien!$C$18,AP4&lt;=Ferien!$D$18),AND(AP4&gt;=Ferien!$C$19,AP4&lt;=Ferien!$D$19),AND(AP4&gt;=Ferien!$C$20,AP4&lt;=Ferien!$D$20),AND(AP4&gt;=Ferien!$C$21,AP4&lt;=Ferien!$D$21))),1,0)</f>
        <v>1</v>
      </c>
      <c r="AU4" s="250">
        <f ca="1">DATE(BJ1,10,1)</f>
        <v>45566</v>
      </c>
      <c r="AV4" s="572" t="str">
        <f ca="1">IF(AX4=1,"{","")</f>
        <v/>
      </c>
      <c r="AW4" s="316" t="str">
        <f ca="1">IFERROR(VLOOKUP(AU4,Mond!$B$3:$C$59,2,0),"")</f>
        <v/>
      </c>
      <c r="AX4" s="302" t="str">
        <f ca="1">IFERROR(IF(VLOOKUP(AU4,Gießtage!$L$8:$L$98,1,0),1,0),"")</f>
        <v/>
      </c>
      <c r="AY4" s="251">
        <f ca="1">IF(AND(OR(AND(AU4&gt;=Ferien!$C$11,AU4&lt;=Ferien!$D$11),AND(AU4&gt;=Ferien!$C$12,AU4&lt;=Ferien!$D$12),AND(AU4&gt;=Ferien!$C$13,AU4&lt;=Ferien!$D$13),AND(AU4&gt;=Ferien!$C$14,AU4&lt;=Ferien!$D$14),AND(AU4&gt;=Ferien!$C$15,AU4&lt;=Ferien!$D$15),AND(AU4&gt;=Ferien!$C$16,AU4&lt;=Ferien!$D$16),AND(AU4&gt;=Ferien!$C$17,AU4&lt;=Ferien!$D$17),AND(AU4&gt;=Ferien!$C$18,AU4&lt;=Ferien!$D$18),AND(AU4&gt;=Ferien!$C$19,AU4&lt;=Ferien!$D$19),AND(AU4&gt;=Ferien!$C$20,AU4&lt;=Ferien!$D$20),AND(AU4&gt;=Ferien!$C$21,AU4&lt;=Ferien!$D$21))),1,0)</f>
        <v>0</v>
      </c>
      <c r="AZ4" s="250">
        <f ca="1">DATE(BJ1,11,1)</f>
        <v>45597</v>
      </c>
      <c r="BA4" s="572" t="str">
        <f ca="1">IF(BC4=1,"{","")</f>
        <v>{</v>
      </c>
      <c r="BB4" s="316" t="str">
        <f ca="1">IFERROR(VLOOKUP(AZ4,Mond!$B$3:$C$59,2,0),"")</f>
        <v>0</v>
      </c>
      <c r="BC4" s="302">
        <f ca="1">IFERROR(IF(VLOOKUP(AZ4,Gießtage!$L$8:$L$98,1,0),1,0),"")</f>
        <v>1</v>
      </c>
      <c r="BD4" s="251">
        <f ca="1">IF(AND(OR(AND(AZ4&gt;=Ferien!$C$11,AZ4&lt;=Ferien!$D$11),AND(AZ4&gt;=Ferien!$C$12,AZ4&lt;=Ferien!$D$12),AND(AZ4&gt;=Ferien!$C$13,AZ4&lt;=Ferien!$D$13),AND(AZ4&gt;=Ferien!$C$14,AZ4&lt;=Ferien!$D$14),AND(AZ4&gt;=Ferien!$C$15,AZ4&lt;=Ferien!$D$15),AND(AZ4&gt;=Ferien!$C$16,AZ4&lt;=Ferien!$D$16),AND(AZ4&gt;=Ferien!$C$17,AZ4&lt;=Ferien!$D$17),AND(AZ4&gt;=Ferien!$C$18,AZ4&lt;=Ferien!$D$18),AND(AZ4&gt;=Ferien!$C$19,AZ4&lt;=Ferien!$D$19),AND(AZ4&gt;=Ferien!$C$20,AZ4&lt;=Ferien!$D$20),AND(AZ4&gt;=Ferien!$C$21,AZ4&lt;=Ferien!$D$21))),1,0)</f>
        <v>0</v>
      </c>
      <c r="BE4" s="250">
        <f ca="1">DATE(BJ1,12,1)</f>
        <v>45627</v>
      </c>
      <c r="BF4" s="572" t="str">
        <f ca="1">IF(BH4=1,"{","")</f>
        <v/>
      </c>
      <c r="BG4" s="316" t="str">
        <f ca="1">IFERROR(VLOOKUP(BE4,Mond!$B$3:$C$59,2,0),"")</f>
        <v>0</v>
      </c>
      <c r="BH4" s="302" t="str">
        <f ca="1">IFERROR(IF(VLOOKUP(BE4,Gießtage!$L$8:$L$98,1,0),1,0),"")</f>
        <v/>
      </c>
      <c r="BI4" s="252">
        <f ca="1">IF(AND(OR(AND(BE4&gt;=Ferien!$C$11,BE4&lt;=Ferien!$D$11),AND(BE4&gt;=Ferien!$C$12,BE4&lt;=Ferien!$D$12),AND(BE4&gt;=Ferien!$C$13,BE4&lt;=Ferien!$D$13),AND(BE4&gt;=Ferien!$C$14,BE4&lt;=Ferien!$D$14),AND(BE4&gt;=Ferien!$C$15,BE4&lt;=Ferien!$D$15),AND(BE4&gt;=Ferien!$C$16,BE4&lt;=Ferien!$D$16),AND(BE4&gt;=Ferien!$C$17,BE4&lt;=Ferien!$D$17),AND(BE4&gt;=Ferien!$C$18,BE4&lt;=Ferien!$D$18),AND(BE4&gt;=Ferien!$C$19,BE4&lt;=Ferien!$D$19),AND(BE4&gt;=Ferien!$C$20,BE4&lt;=Ferien!$D$20),AND(BE4&gt;=Ferien!$C$21,BE4&lt;=Ferien!$D$21))),1,0)</f>
        <v>0</v>
      </c>
      <c r="BT4" s="238"/>
      <c r="BU4" s="238"/>
      <c r="BV4" s="238"/>
    </row>
    <row r="5" spans="2:77" ht="19.5" customHeight="1">
      <c r="B5" s="250">
        <f t="shared" ref="B5:B34" ca="1" si="0">B4+1</f>
        <v>45293</v>
      </c>
      <c r="C5" s="573" t="str">
        <f t="shared" ref="C5:C34" ca="1" si="1">IF(E5=1,"{","")</f>
        <v/>
      </c>
      <c r="D5" s="317" t="str">
        <f ca="1">IFERROR(VLOOKUP(B5,Mond!$B$3:$C$59,2,0),"")</f>
        <v/>
      </c>
      <c r="E5" s="302" t="str">
        <f ca="1">IFERROR(IF(VLOOKUP(B5,Gießtage!$L$8:$L$98,1,0),1,0),"")</f>
        <v/>
      </c>
      <c r="F5" s="251">
        <f ca="1">IF(AND(OR(AND(B5&gt;=Ferien!$C$11,B5&lt;=Ferien!$D$11),AND(B5&gt;=Ferien!$C$12,B5&lt;=Ferien!$D$12),AND(B5&gt;=Ferien!$C$13,B5&lt;=Ferien!$D$13),AND(B5&gt;=Ferien!$C$14,B5&lt;=Ferien!$D$14),AND(B5&gt;=Ferien!$C$15,B5&lt;=Ferien!$D$15),AND(B5&gt;=Ferien!$C$16,B5&lt;=Ferien!$D$16),AND(B5&gt;=Ferien!$C$17,B5&lt;=Ferien!$D$17),AND(B5&gt;=Ferien!$C$18,B5&lt;=Ferien!$D$18),AND(B5&gt;=Ferien!$C$19,B5&lt;=Ferien!$D$19),AND(B5&gt;=Ferien!$C$20,B5&lt;=Ferien!$D$20),AND(B5&gt;=Ferien!$C$21,B5&lt;=Ferien!$D$21))),1,0)</f>
        <v>1</v>
      </c>
      <c r="G5" s="250">
        <f t="shared" ref="G5:G31" ca="1" si="2">G4+1</f>
        <v>45324</v>
      </c>
      <c r="H5" s="573" t="s">
        <v>258</v>
      </c>
      <c r="I5" s="317" t="str">
        <f ca="1">IFERROR(VLOOKUP(G5,Mond!$B$3:$C$59,2,0),"")</f>
        <v/>
      </c>
      <c r="J5" s="302">
        <f ca="1">IFERROR(IF(VLOOKUP(G5,Gießtage!$L$8:$L$98,1,0),1,0),"")</f>
        <v>1</v>
      </c>
      <c r="K5" s="251">
        <f ca="1">IF(AND(OR(AND(G5&gt;=Ferien!$C$11,G5&lt;=Ferien!$D$11),AND(G5&gt;=Ferien!$C$12,G5&lt;=Ferien!$D$12),AND(G5&gt;=Ferien!$C$13,G5&lt;=Ferien!$D$13),AND(G5&gt;=Ferien!$C$14,G5&lt;=Ferien!$D$14),AND(G5&gt;=Ferien!$C$15,G5&lt;=Ferien!$D$15),AND(G5&gt;=Ferien!$C$16,G5&lt;=Ferien!$D$16),AND(G5&gt;=Ferien!$C$17,G5&lt;=Ferien!$D$17),AND(G5&gt;=Ferien!$C$18,G5&lt;=Ferien!$D$18),AND(G5&gt;=Ferien!$C$19,G5&lt;=Ferien!$D$19),AND(G5&gt;=Ferien!$C$20,G5&lt;=Ferien!$D$20),AND(G5&gt;=Ferien!$C$21,G5&lt;=Ferien!$D$21))),1,0)</f>
        <v>0</v>
      </c>
      <c r="L5" s="250">
        <f t="shared" ref="L5:L34" ca="1" si="3">L4+1</f>
        <v>45353</v>
      </c>
      <c r="M5" s="573" t="str">
        <f t="shared" ref="M5:M34" ca="1" si="4">IF(O5=1,"{","")</f>
        <v>{</v>
      </c>
      <c r="N5" s="317" t="str">
        <f ca="1">IFERROR(VLOOKUP(L5,Mond!$B$3:$C$59,2,0),"")</f>
        <v/>
      </c>
      <c r="O5" s="302">
        <f ca="1">IFERROR(IF(VLOOKUP(L5,Gießtage!$L$8:$L$98,1,0),1,0),"")</f>
        <v>1</v>
      </c>
      <c r="P5" s="251">
        <f ca="1">IF(AND(OR(AND(L5&gt;=Ferien!$C$11,L5&lt;=Ferien!$D$11),AND(L5&gt;=Ferien!$C$12,L5&lt;=Ferien!$D$12),AND(L5&gt;=Ferien!$C$13,L5&lt;=Ferien!$D$13),AND(L5&gt;=Ferien!$C$14,L5&lt;=Ferien!$D$14),AND(L5&gt;=Ferien!$C$15,L5&lt;=Ferien!$D$15),AND(L5&gt;=Ferien!$C$16,L5&lt;=Ferien!$D$16),AND(L5&gt;=Ferien!$C$17,L5&lt;=Ferien!$D$17),AND(L5&gt;=Ferien!$C$18,L5&lt;=Ferien!$D$18),AND(L5&gt;=Ferien!$C$19,L5&lt;=Ferien!$D$19),AND(L5&gt;=Ferien!$C$20,L5&lt;=Ferien!$D$20),AND(L5&gt;=Ferien!$C$21,L5&lt;=Ferien!$D$21))),1,0)</f>
        <v>0</v>
      </c>
      <c r="Q5" s="250">
        <f t="shared" ref="Q5:Q33" ca="1" si="5">Q4+1</f>
        <v>45384</v>
      </c>
      <c r="R5" s="573" t="str">
        <f t="shared" ref="R5:R33" ca="1" si="6">IF(T5=1,"{","")</f>
        <v/>
      </c>
      <c r="S5" s="317" t="str">
        <f ca="1">IFERROR(VLOOKUP(Q5,Mond!$B$3:$C$59,2,0),"")</f>
        <v>T</v>
      </c>
      <c r="T5" s="302" t="str">
        <f ca="1">IFERROR(IF(VLOOKUP(Q5,Gießtage!$L$8:$L$98,1,0),1,0),"")</f>
        <v/>
      </c>
      <c r="U5" s="251">
        <f ca="1">IF(AND(OR(AND(Q5&gt;=Ferien!$C$11,Q5&lt;=Ferien!$D$11),AND(Q5&gt;=Ferien!$C$12,Q5&lt;=Ferien!$D$12),AND(Q5&gt;=Ferien!$C$13,Q5&lt;=Ferien!$D$13),AND(Q5&gt;=Ferien!$C$14,Q5&lt;=Ferien!$D$14),AND(Q5&gt;=Ferien!$C$15,Q5&lt;=Ferien!$D$15),AND(Q5&gt;=Ferien!$C$16,Q5&lt;=Ferien!$D$16),AND(Q5&gt;=Ferien!$C$17,Q5&lt;=Ferien!$D$17),AND(Q5&gt;=Ferien!$C$18,Q5&lt;=Ferien!$D$18),AND(Q5&gt;=Ferien!$C$19,Q5&lt;=Ferien!$D$19),AND(Q5&gt;=Ferien!$C$20,Q5&lt;=Ferien!$D$20),AND(Q5&gt;=Ferien!$C$21,Q5&lt;=Ferien!$D$21))),1,0)</f>
        <v>1</v>
      </c>
      <c r="V5" s="250">
        <f t="shared" ref="V5:V34" ca="1" si="7">V4+1</f>
        <v>45414</v>
      </c>
      <c r="W5" s="573" t="str">
        <f t="shared" ref="W5:W34" ca="1" si="8">IF(Y5=1,"{","")</f>
        <v/>
      </c>
      <c r="X5" s="317" t="str">
        <f ca="1">IFERROR(VLOOKUP(V5,Mond!$B$3:$C$59,2,0),"")</f>
        <v/>
      </c>
      <c r="Y5" s="302" t="str">
        <f ca="1">IFERROR(IF(VLOOKUP(V5,Gießtage!$L$8:$L$98,1,0),1,0),"")</f>
        <v/>
      </c>
      <c r="Z5" s="251">
        <f ca="1">IF(AND(OR(AND(V5&gt;=Ferien!$C$11,V5&lt;=Ferien!$D$11),AND(V5&gt;=Ferien!$C$12,V5&lt;=Ferien!$D$12),AND(V5&gt;=Ferien!$C$13,V5&lt;=Ferien!$D$13),AND(V5&gt;=Ferien!$C$14,V5&lt;=Ferien!$D$14),AND(V5&gt;=Ferien!$C$15,V5&lt;=Ferien!$D$15),AND(V5&gt;=Ferien!$C$16,V5&lt;=Ferien!$D$16),AND(V5&gt;=Ferien!$C$17,V5&lt;=Ferien!$D$17),AND(V5&gt;=Ferien!$C$18,V5&lt;=Ferien!$D$18),AND(V5&gt;=Ferien!$C$19,V5&lt;=Ferien!$D$19),AND(V5&gt;=Ferien!$C$20,V5&lt;=Ferien!$D$20),AND(V5&gt;=Ferien!$C$21,V5&lt;=Ferien!$D$21))),1,0)</f>
        <v>0</v>
      </c>
      <c r="AA5" s="250">
        <f t="shared" ref="AA5:AA33" ca="1" si="9">AA4+1</f>
        <v>45445</v>
      </c>
      <c r="AB5" s="573" t="str">
        <f t="shared" ref="AB5:AB33" ca="1" si="10">IF(AD5=1,"{","")</f>
        <v/>
      </c>
      <c r="AC5" s="317" t="str">
        <f ca="1">IFERROR(VLOOKUP(AA5,Mond!$B$3:$C$59,2,0),"")</f>
        <v/>
      </c>
      <c r="AD5" s="302" t="str">
        <f ca="1">IFERROR(IF(VLOOKUP(AA5,Gießtage!$L$8:$L$98,1,0),1,0),"")</f>
        <v/>
      </c>
      <c r="AE5" s="251">
        <f ca="1">IF(AND(OR(AND(AA5&gt;=Ferien!$C$11,AA5&lt;=Ferien!$D$11),AND(AA5&gt;=Ferien!$C$12,AA5&lt;=Ferien!$D$12),AND(AA5&gt;=Ferien!$C$13,AA5&lt;=Ferien!$D$13),AND(AA5&gt;=Ferien!$C$14,AA5&lt;=Ferien!$D$14),AND(AA5&gt;=Ferien!$C$15,AA5&lt;=Ferien!$D$15),AND(AA5&gt;=Ferien!$C$16,AA5&lt;=Ferien!$D$16),AND(AA5&gt;=Ferien!$C$17,AA5&lt;=Ferien!$D$17),AND(AA5&gt;=Ferien!$C$18,AA5&lt;=Ferien!$D$18),AND(AA5&gt;=Ferien!$C$19,AA5&lt;=Ferien!$D$19),AND(AA5&gt;=Ferien!$C$20,AA5&lt;=Ferien!$D$20),AND(AA5&gt;=Ferien!$C$21,AA5&lt;=Ferien!$D$21))),1,0)</f>
        <v>0</v>
      </c>
      <c r="AF5" s="250">
        <f t="shared" ref="AF5:AF34" ca="1" si="11">AF4+1</f>
        <v>45475</v>
      </c>
      <c r="AG5" s="573" t="str">
        <f t="shared" ref="AG5:AG34" ca="1" si="12">IF(AI5=1,"{","")</f>
        <v/>
      </c>
      <c r="AH5" s="317" t="str">
        <f ca="1">IFERROR(VLOOKUP(AF5,Mond!$B$3:$C$59,2,0),"")</f>
        <v/>
      </c>
      <c r="AI5" s="302" t="str">
        <f ca="1">IFERROR(IF(VLOOKUP(AF5,Gießtage!$L$8:$L$98,1,0),1,0),"")</f>
        <v/>
      </c>
      <c r="AJ5" s="251">
        <f ca="1">IF(AND(OR(AND(AF5&gt;=Ferien!$C$11,AF5&lt;=Ferien!$D$11),AND(AF5&gt;=Ferien!$C$12,AF5&lt;=Ferien!$D$12),AND(AF5&gt;=Ferien!$C$13,AF5&lt;=Ferien!$D$13),AND(AF5&gt;=Ferien!$C$14,AF5&lt;=Ferien!$D$14),AND(AF5&gt;=Ferien!$C$15,AF5&lt;=Ferien!$D$15),AND(AF5&gt;=Ferien!$C$16,AF5&lt;=Ferien!$D$16),AND(AF5&gt;=Ferien!$C$17,AF5&lt;=Ferien!$D$17),AND(AF5&gt;=Ferien!$C$18,AF5&lt;=Ferien!$D$18),AND(AF5&gt;=Ferien!$C$19,AF5&lt;=Ferien!$D$19),AND(AF5&gt;=Ferien!$C$20,AF5&lt;=Ferien!$D$20),AND(AF5&gt;=Ferien!$C$21,AF5&lt;=Ferien!$D$21))),1,0)</f>
        <v>0</v>
      </c>
      <c r="AK5" s="250">
        <f t="shared" ref="AK5:AK34" ca="1" si="13">AK4+1</f>
        <v>45506</v>
      </c>
      <c r="AL5" s="573" t="str">
        <f t="shared" ref="AL5:AL34" ca="1" si="14">IF(AN5=1,"{","")</f>
        <v>{</v>
      </c>
      <c r="AM5" s="317" t="str">
        <f ca="1">IFERROR(VLOOKUP(AK5,Mond!$B$3:$C$59,2,0),"")</f>
        <v/>
      </c>
      <c r="AN5" s="302">
        <f ca="1">IFERROR(IF(VLOOKUP(AK5,Gießtage!$L$8:$L$98,1,0),1,0),"")</f>
        <v>1</v>
      </c>
      <c r="AO5" s="251">
        <f ca="1">IF(AND(OR(AND(AK5&gt;=Ferien!$C$11,AK5&lt;=Ferien!$D$11),AND(AK5&gt;=Ferien!$C$12,AK5&lt;=Ferien!$D$12),AND(AK5&gt;=Ferien!$C$13,AK5&lt;=Ferien!$D$13),AND(AK5&gt;=Ferien!$C$14,AK5&lt;=Ferien!$D$14),AND(AK5&gt;=Ferien!$C$15,AK5&lt;=Ferien!$D$15),AND(AK5&gt;=Ferien!$C$16,AK5&lt;=Ferien!$D$16),AND(AK5&gt;=Ferien!$C$17,AK5&lt;=Ferien!$D$17),AND(AK5&gt;=Ferien!$C$18,AK5&lt;=Ferien!$D$18),AND(AK5&gt;=Ferien!$C$19,AK5&lt;=Ferien!$D$19),AND(AK5&gt;=Ferien!$C$20,AK5&lt;=Ferien!$D$20),AND(AK5&gt;=Ferien!$C$21,AK5&lt;=Ferien!$D$21))),1,0)</f>
        <v>1</v>
      </c>
      <c r="AP5" s="250">
        <f t="shared" ref="AP5:AP33" ca="1" si="15">AP4+1</f>
        <v>45537</v>
      </c>
      <c r="AQ5" s="573" t="str">
        <f t="shared" ref="AQ5:AQ33" ca="1" si="16">IF(AS5=1,"{","")</f>
        <v/>
      </c>
      <c r="AR5" s="317" t="str">
        <f ca="1">IFERROR(VLOOKUP(AP5,Mond!$B$3:$C$59,2,0),"")</f>
        <v/>
      </c>
      <c r="AS5" s="302" t="str">
        <f ca="1">IFERROR(IF(VLOOKUP(AP5,Gießtage!$L$8:$L$98,1,0),1,0),"")</f>
        <v/>
      </c>
      <c r="AT5" s="251">
        <f ca="1">IF(AND(OR(AND(AP5&gt;=Ferien!$C$11,AP5&lt;=Ferien!$D$11),AND(AP5&gt;=Ferien!$C$12,AP5&lt;=Ferien!$D$12),AND(AP5&gt;=Ferien!$C$13,AP5&lt;=Ferien!$D$13),AND(AP5&gt;=Ferien!$C$14,AP5&lt;=Ferien!$D$14),AND(AP5&gt;=Ferien!$C$15,AP5&lt;=Ferien!$D$15),AND(AP5&gt;=Ferien!$C$16,AP5&lt;=Ferien!$D$16),AND(AP5&gt;=Ferien!$C$17,AP5&lt;=Ferien!$D$17),AND(AP5&gt;=Ferien!$C$18,AP5&lt;=Ferien!$D$18),AND(AP5&gt;=Ferien!$C$19,AP5&lt;=Ferien!$D$19),AND(AP5&gt;=Ferien!$C$20,AP5&lt;=Ferien!$D$20),AND(AP5&gt;=Ferien!$C$21,AP5&lt;=Ferien!$D$21))),1,0)</f>
        <v>1</v>
      </c>
      <c r="AU5" s="250">
        <f t="shared" ref="AU5:AU34" ca="1" si="17">AU4+1</f>
        <v>45567</v>
      </c>
      <c r="AV5" s="573" t="str">
        <f t="shared" ref="AV5:AV34" ca="1" si="18">IF(AX5=1,"{","")</f>
        <v/>
      </c>
      <c r="AW5" s="317" t="str">
        <f ca="1">IFERROR(VLOOKUP(AU5,Mond!$B$3:$C$59,2,0),"")</f>
        <v>0</v>
      </c>
      <c r="AX5" s="302" t="str">
        <f ca="1">IFERROR(IF(VLOOKUP(AU5,Gießtage!$L$8:$L$98,1,0),1,0),"")</f>
        <v/>
      </c>
      <c r="AY5" s="251">
        <f ca="1">IF(AND(OR(AND(AU5&gt;=Ferien!$C$11,AU5&lt;=Ferien!$D$11),AND(AU5&gt;=Ferien!$C$12,AU5&lt;=Ferien!$D$12),AND(AU5&gt;=Ferien!$C$13,AU5&lt;=Ferien!$D$13),AND(AU5&gt;=Ferien!$C$14,AU5&lt;=Ferien!$D$14),AND(AU5&gt;=Ferien!$C$15,AU5&lt;=Ferien!$D$15),AND(AU5&gt;=Ferien!$C$16,AU5&lt;=Ferien!$D$16),AND(AU5&gt;=Ferien!$C$17,AU5&lt;=Ferien!$D$17),AND(AU5&gt;=Ferien!$C$18,AU5&lt;=Ferien!$D$18),AND(AU5&gt;=Ferien!$C$19,AU5&lt;=Ferien!$D$19),AND(AU5&gt;=Ferien!$C$20,AU5&lt;=Ferien!$D$20),AND(AU5&gt;=Ferien!$C$21,AU5&lt;=Ferien!$D$21))),1,0)</f>
        <v>0</v>
      </c>
      <c r="AZ5" s="250">
        <f t="shared" ref="AZ5:AZ33" ca="1" si="19">AZ4+1</f>
        <v>45598</v>
      </c>
      <c r="BA5" s="573" t="str">
        <f t="shared" ref="BA5:BA33" ca="1" si="20">IF(BC5=1,"{","")</f>
        <v>{</v>
      </c>
      <c r="BB5" s="317" t="str">
        <f ca="1">IFERROR(VLOOKUP(AZ5,Mond!$B$3:$C$59,2,0),"")</f>
        <v/>
      </c>
      <c r="BC5" s="302">
        <f ca="1">IFERROR(IF(VLOOKUP(AZ5,Gießtage!$L$8:$L$98,1,0),1,0),"")</f>
        <v>1</v>
      </c>
      <c r="BD5" s="251">
        <f ca="1">IF(AND(OR(AND(AZ5&gt;=Ferien!$C$11,AZ5&lt;=Ferien!$D$11),AND(AZ5&gt;=Ferien!$C$12,AZ5&lt;=Ferien!$D$12),AND(AZ5&gt;=Ferien!$C$13,AZ5&lt;=Ferien!$D$13),AND(AZ5&gt;=Ferien!$C$14,AZ5&lt;=Ferien!$D$14),AND(AZ5&gt;=Ferien!$C$15,AZ5&lt;=Ferien!$D$15),AND(AZ5&gt;=Ferien!$C$16,AZ5&lt;=Ferien!$D$16),AND(AZ5&gt;=Ferien!$C$17,AZ5&lt;=Ferien!$D$17),AND(AZ5&gt;=Ferien!$C$18,AZ5&lt;=Ferien!$D$18),AND(AZ5&gt;=Ferien!$C$19,AZ5&lt;=Ferien!$D$19),AND(AZ5&gt;=Ferien!$C$20,AZ5&lt;=Ferien!$D$20),AND(AZ5&gt;=Ferien!$C$21,AZ5&lt;=Ferien!$D$21))),1,0)</f>
        <v>0</v>
      </c>
      <c r="BE5" s="250">
        <f t="shared" ref="BE5:BE34" ca="1" si="21">BE4+1</f>
        <v>45628</v>
      </c>
      <c r="BF5" s="573" t="str">
        <f t="shared" ref="BF5:BF34" ca="1" si="22">IF(BH5=1,"{","")</f>
        <v/>
      </c>
      <c r="BG5" s="317" t="str">
        <f ca="1">IFERROR(VLOOKUP(BE5,Mond!$B$3:$C$59,2,0),"")</f>
        <v/>
      </c>
      <c r="BH5" s="302" t="str">
        <f ca="1">IFERROR(IF(VLOOKUP(BE5,Gießtage!$L$8:$L$98,1,0),1,0),"")</f>
        <v/>
      </c>
      <c r="BI5" s="252">
        <f ca="1">IF(AND(OR(AND(BE5&gt;=Ferien!$C$11,BE5&lt;=Ferien!$D$11),AND(BE5&gt;=Ferien!$C$12,BE5&lt;=Ferien!$D$12),AND(BE5&gt;=Ferien!$C$13,BE5&lt;=Ferien!$D$13),AND(BE5&gt;=Ferien!$C$14,BE5&lt;=Ferien!$D$14),AND(BE5&gt;=Ferien!$C$15,BE5&lt;=Ferien!$D$15),AND(BE5&gt;=Ferien!$C$16,BE5&lt;=Ferien!$D$16),AND(BE5&gt;=Ferien!$C$17,BE5&lt;=Ferien!$D$17),AND(BE5&gt;=Ferien!$C$18,BE5&lt;=Ferien!$D$18),AND(BE5&gt;=Ferien!$C$19,BE5&lt;=Ferien!$D$19),AND(BE5&gt;=Ferien!$C$20,BE5&lt;=Ferien!$D$20),AND(BE5&gt;=Ferien!$C$21,BE5&lt;=Ferien!$D$21))),1,0)</f>
        <v>0</v>
      </c>
      <c r="BN5" s="832"/>
      <c r="BO5" s="832"/>
      <c r="BP5" s="270"/>
      <c r="BT5" s="238"/>
      <c r="BU5" s="238"/>
      <c r="BV5" s="238"/>
    </row>
    <row r="6" spans="2:77" ht="19.5" customHeight="1" thickBot="1">
      <c r="B6" s="250">
        <f t="shared" ca="1" si="0"/>
        <v>45294</v>
      </c>
      <c r="C6" s="573" t="str">
        <f t="shared" ca="1" si="1"/>
        <v/>
      </c>
      <c r="D6" s="317" t="str">
        <f ca="1">IFERROR(VLOOKUP(B6,Mond!$B$3:$C$59,2,0),"")</f>
        <v/>
      </c>
      <c r="E6" s="302" t="str">
        <f ca="1">IFERROR(IF(VLOOKUP(B6,Gießtage!$L$8:$L$98,1,0),1,0),"")</f>
        <v/>
      </c>
      <c r="F6" s="251">
        <f ca="1">IF(AND(OR(AND(B6&gt;=Ferien!$C$11,B6&lt;=Ferien!$D$11),AND(B6&gt;=Ferien!$C$12,B6&lt;=Ferien!$D$12),AND(B6&gt;=Ferien!$C$13,B6&lt;=Ferien!$D$13),AND(B6&gt;=Ferien!$C$14,B6&lt;=Ferien!$D$14),AND(B6&gt;=Ferien!$C$15,B6&lt;=Ferien!$D$15),AND(B6&gt;=Ferien!$C$16,B6&lt;=Ferien!$D$16),AND(B6&gt;=Ferien!$C$17,B6&lt;=Ferien!$D$17),AND(B6&gt;=Ferien!$C$18,B6&lt;=Ferien!$D$18),AND(B6&gt;=Ferien!$C$19,B6&lt;=Ferien!$D$19),AND(B6&gt;=Ferien!$C$20,B6&lt;=Ferien!$D$20),AND(B6&gt;=Ferien!$C$21,B6&lt;=Ferien!$D$21))),1,0)</f>
        <v>1</v>
      </c>
      <c r="G6" s="250">
        <f t="shared" ca="1" si="2"/>
        <v>45325</v>
      </c>
      <c r="H6" s="573" t="s">
        <v>258</v>
      </c>
      <c r="I6" s="317" t="str">
        <f ca="1">IFERROR(VLOOKUP(G6,Mond!$B$3:$C$59,2,0),"")</f>
        <v>T</v>
      </c>
      <c r="J6" s="302">
        <f ca="1">IFERROR(IF(VLOOKUP(G6,Gießtage!$L$8:$L$98,1,0),1,0),"")</f>
        <v>1</v>
      </c>
      <c r="K6" s="251">
        <f ca="1">IF(AND(OR(AND(G6&gt;=Ferien!$C$11,G6&lt;=Ferien!$D$11),AND(G6&gt;=Ferien!$C$12,G6&lt;=Ferien!$D$12),AND(G6&gt;=Ferien!$C$13,G6&lt;=Ferien!$D$13),AND(G6&gt;=Ferien!$C$14,G6&lt;=Ferien!$D$14),AND(G6&gt;=Ferien!$C$15,G6&lt;=Ferien!$D$15),AND(G6&gt;=Ferien!$C$16,G6&lt;=Ferien!$D$16),AND(G6&gt;=Ferien!$C$17,G6&lt;=Ferien!$D$17),AND(G6&gt;=Ferien!$C$18,G6&lt;=Ferien!$D$18),AND(G6&gt;=Ferien!$C$19,G6&lt;=Ferien!$D$19),AND(G6&gt;=Ferien!$C$20,G6&lt;=Ferien!$D$20),AND(G6&gt;=Ferien!$C$21,G6&lt;=Ferien!$D$21))),1,0)</f>
        <v>0</v>
      </c>
      <c r="L6" s="250">
        <f t="shared" ca="1" si="3"/>
        <v>45354</v>
      </c>
      <c r="M6" s="573" t="str">
        <f t="shared" ca="1" si="4"/>
        <v/>
      </c>
      <c r="N6" s="317" t="str">
        <f ca="1">IFERROR(VLOOKUP(L6,Mond!$B$3:$C$59,2,0),"")</f>
        <v>T</v>
      </c>
      <c r="O6" s="302" t="str">
        <f ca="1">IFERROR(IF(VLOOKUP(L6,Gießtage!$L$8:$L$98,1,0),1,0),"")</f>
        <v/>
      </c>
      <c r="P6" s="251">
        <f ca="1">IF(AND(OR(AND(L6&gt;=Ferien!$C$11,L6&lt;=Ferien!$D$11),AND(L6&gt;=Ferien!$C$12,L6&lt;=Ferien!$D$12),AND(L6&gt;=Ferien!$C$13,L6&lt;=Ferien!$D$13),AND(L6&gt;=Ferien!$C$14,L6&lt;=Ferien!$D$14),AND(L6&gt;=Ferien!$C$15,L6&lt;=Ferien!$D$15),AND(L6&gt;=Ferien!$C$16,L6&lt;=Ferien!$D$16),AND(L6&gt;=Ferien!$C$17,L6&lt;=Ferien!$D$17),AND(L6&gt;=Ferien!$C$18,L6&lt;=Ferien!$D$18),AND(L6&gt;=Ferien!$C$19,L6&lt;=Ferien!$D$19),AND(L6&gt;=Ferien!$C$20,L6&lt;=Ferien!$D$20),AND(L6&gt;=Ferien!$C$21,L6&lt;=Ferien!$D$21))),1,0)</f>
        <v>0</v>
      </c>
      <c r="Q6" s="250">
        <f t="shared" ca="1" si="5"/>
        <v>45385</v>
      </c>
      <c r="R6" s="573" t="str">
        <f t="shared" ca="1" si="6"/>
        <v/>
      </c>
      <c r="S6" s="317" t="str">
        <f ca="1">IFERROR(VLOOKUP(Q6,Mond!$B$3:$C$59,2,0),"")</f>
        <v/>
      </c>
      <c r="T6" s="302" t="str">
        <f ca="1">IFERROR(IF(VLOOKUP(Q6,Gießtage!$L$8:$L$98,1,0),1,0),"")</f>
        <v/>
      </c>
      <c r="U6" s="251">
        <f ca="1">IF(AND(OR(AND(Q6&gt;=Ferien!$C$11,Q6&lt;=Ferien!$D$11),AND(Q6&gt;=Ferien!$C$12,Q6&lt;=Ferien!$D$12),AND(Q6&gt;=Ferien!$C$13,Q6&lt;=Ferien!$D$13),AND(Q6&gt;=Ferien!$C$14,Q6&lt;=Ferien!$D$14),AND(Q6&gt;=Ferien!$C$15,Q6&lt;=Ferien!$D$15),AND(Q6&gt;=Ferien!$C$16,Q6&lt;=Ferien!$D$16),AND(Q6&gt;=Ferien!$C$17,Q6&lt;=Ferien!$D$17),AND(Q6&gt;=Ferien!$C$18,Q6&lt;=Ferien!$D$18),AND(Q6&gt;=Ferien!$C$19,Q6&lt;=Ferien!$D$19),AND(Q6&gt;=Ferien!$C$20,Q6&lt;=Ferien!$D$20),AND(Q6&gt;=Ferien!$C$21,Q6&lt;=Ferien!$D$21))),1,0)</f>
        <v>1</v>
      </c>
      <c r="V6" s="250">
        <f t="shared" ca="1" si="7"/>
        <v>45415</v>
      </c>
      <c r="W6" s="573" t="str">
        <f t="shared" ca="1" si="8"/>
        <v>{</v>
      </c>
      <c r="X6" s="317" t="str">
        <f ca="1">IFERROR(VLOOKUP(V6,Mond!$B$3:$C$59,2,0),"")</f>
        <v/>
      </c>
      <c r="Y6" s="302">
        <f ca="1">IFERROR(IF(VLOOKUP(V6,Gießtage!$L$8:$L$98,1,0),1,0),"")</f>
        <v>1</v>
      </c>
      <c r="Z6" s="251">
        <f ca="1">IF(AND(OR(AND(V6&gt;=Ferien!$C$11,V6&lt;=Ferien!$D$11),AND(V6&gt;=Ferien!$C$12,V6&lt;=Ferien!$D$12),AND(V6&gt;=Ferien!$C$13,V6&lt;=Ferien!$D$13),AND(V6&gt;=Ferien!$C$14,V6&lt;=Ferien!$D$14),AND(V6&gt;=Ferien!$C$15,V6&lt;=Ferien!$D$15),AND(V6&gt;=Ferien!$C$16,V6&lt;=Ferien!$D$16),AND(V6&gt;=Ferien!$C$17,V6&lt;=Ferien!$D$17),AND(V6&gt;=Ferien!$C$18,V6&lt;=Ferien!$D$18),AND(V6&gt;=Ferien!$C$19,V6&lt;=Ferien!$D$19),AND(V6&gt;=Ferien!$C$20,V6&lt;=Ferien!$D$20),AND(V6&gt;=Ferien!$C$21,V6&lt;=Ferien!$D$21))),1,0)</f>
        <v>0</v>
      </c>
      <c r="AA6" s="250">
        <f t="shared" ca="1" si="9"/>
        <v>45446</v>
      </c>
      <c r="AB6" s="573" t="str">
        <f t="shared" ca="1" si="10"/>
        <v/>
      </c>
      <c r="AC6" s="317" t="str">
        <f ca="1">IFERROR(VLOOKUP(AA6,Mond!$B$3:$C$59,2,0),"")</f>
        <v/>
      </c>
      <c r="AD6" s="302" t="str">
        <f ca="1">IFERROR(IF(VLOOKUP(AA6,Gießtage!$L$8:$L$98,1,0),1,0),"")</f>
        <v/>
      </c>
      <c r="AE6" s="251">
        <f ca="1">IF(AND(OR(AND(AA6&gt;=Ferien!$C$11,AA6&lt;=Ferien!$D$11),AND(AA6&gt;=Ferien!$C$12,AA6&lt;=Ferien!$D$12),AND(AA6&gt;=Ferien!$C$13,AA6&lt;=Ferien!$D$13),AND(AA6&gt;=Ferien!$C$14,AA6&lt;=Ferien!$D$14),AND(AA6&gt;=Ferien!$C$15,AA6&lt;=Ferien!$D$15),AND(AA6&gt;=Ferien!$C$16,AA6&lt;=Ferien!$D$16),AND(AA6&gt;=Ferien!$C$17,AA6&lt;=Ferien!$D$17),AND(AA6&gt;=Ferien!$C$18,AA6&lt;=Ferien!$D$18),AND(AA6&gt;=Ferien!$C$19,AA6&lt;=Ferien!$D$19),AND(AA6&gt;=Ferien!$C$20,AA6&lt;=Ferien!$D$20),AND(AA6&gt;=Ferien!$C$21,AA6&lt;=Ferien!$D$21))),1,0)</f>
        <v>0</v>
      </c>
      <c r="AF6" s="250">
        <f t="shared" ca="1" si="11"/>
        <v>45476</v>
      </c>
      <c r="AG6" s="573" t="str">
        <f t="shared" ca="1" si="12"/>
        <v/>
      </c>
      <c r="AH6" s="317" t="str">
        <f ca="1">IFERROR(VLOOKUP(AF6,Mond!$B$3:$C$59,2,0),"")</f>
        <v/>
      </c>
      <c r="AI6" s="302" t="str">
        <f ca="1">IFERROR(IF(VLOOKUP(AF6,Gießtage!$L$8:$L$98,1,0),1,0),"")</f>
        <v/>
      </c>
      <c r="AJ6" s="251">
        <f ca="1">IF(AND(OR(AND(AF6&gt;=Ferien!$C$11,AF6&lt;=Ferien!$D$11),AND(AF6&gt;=Ferien!$C$12,AF6&lt;=Ferien!$D$12),AND(AF6&gt;=Ferien!$C$13,AF6&lt;=Ferien!$D$13),AND(AF6&gt;=Ferien!$C$14,AF6&lt;=Ferien!$D$14),AND(AF6&gt;=Ferien!$C$15,AF6&lt;=Ferien!$D$15),AND(AF6&gt;=Ferien!$C$16,AF6&lt;=Ferien!$D$16),AND(AF6&gt;=Ferien!$C$17,AF6&lt;=Ferien!$D$17),AND(AF6&gt;=Ferien!$C$18,AF6&lt;=Ferien!$D$18),AND(AF6&gt;=Ferien!$C$19,AF6&lt;=Ferien!$D$19),AND(AF6&gt;=Ferien!$C$20,AF6&lt;=Ferien!$D$20),AND(AF6&gt;=Ferien!$C$21,AF6&lt;=Ferien!$D$21))),1,0)</f>
        <v>0</v>
      </c>
      <c r="AK6" s="250">
        <f t="shared" ca="1" si="13"/>
        <v>45507</v>
      </c>
      <c r="AL6" s="573" t="str">
        <f t="shared" ca="1" si="14"/>
        <v>{</v>
      </c>
      <c r="AM6" s="317" t="str">
        <f ca="1">IFERROR(VLOOKUP(AK6,Mond!$B$3:$C$59,2,0),"")</f>
        <v/>
      </c>
      <c r="AN6" s="302">
        <f ca="1">IFERROR(IF(VLOOKUP(AK6,Gießtage!$L$8:$L$98,1,0),1,0),"")</f>
        <v>1</v>
      </c>
      <c r="AO6" s="251">
        <f ca="1">IF(AND(OR(AND(AK6&gt;=Ferien!$C$11,AK6&lt;=Ferien!$D$11),AND(AK6&gt;=Ferien!$C$12,AK6&lt;=Ferien!$D$12),AND(AK6&gt;=Ferien!$C$13,AK6&lt;=Ferien!$D$13),AND(AK6&gt;=Ferien!$C$14,AK6&lt;=Ferien!$D$14),AND(AK6&gt;=Ferien!$C$15,AK6&lt;=Ferien!$D$15),AND(AK6&gt;=Ferien!$C$16,AK6&lt;=Ferien!$D$16),AND(AK6&gt;=Ferien!$C$17,AK6&lt;=Ferien!$D$17),AND(AK6&gt;=Ferien!$C$18,AK6&lt;=Ferien!$D$18),AND(AK6&gt;=Ferien!$C$19,AK6&lt;=Ferien!$D$19),AND(AK6&gt;=Ferien!$C$20,AK6&lt;=Ferien!$D$20),AND(AK6&gt;=Ferien!$C$21,AK6&lt;=Ferien!$D$21))),1,0)</f>
        <v>1</v>
      </c>
      <c r="AP6" s="250">
        <f t="shared" ca="1" si="15"/>
        <v>45538</v>
      </c>
      <c r="AQ6" s="573" t="str">
        <f t="shared" ca="1" si="16"/>
        <v/>
      </c>
      <c r="AR6" s="317" t="str">
        <f ca="1">IFERROR(VLOOKUP(AP6,Mond!$B$3:$C$59,2,0),"")</f>
        <v>0</v>
      </c>
      <c r="AS6" s="302" t="str">
        <f ca="1">IFERROR(IF(VLOOKUP(AP6,Gießtage!$L$8:$L$98,1,0),1,0),"")</f>
        <v/>
      </c>
      <c r="AT6" s="251">
        <f ca="1">IF(AND(OR(AND(AP6&gt;=Ferien!$C$11,AP6&lt;=Ferien!$D$11),AND(AP6&gt;=Ferien!$C$12,AP6&lt;=Ferien!$D$12),AND(AP6&gt;=Ferien!$C$13,AP6&lt;=Ferien!$D$13),AND(AP6&gt;=Ferien!$C$14,AP6&lt;=Ferien!$D$14),AND(AP6&gt;=Ferien!$C$15,AP6&lt;=Ferien!$D$15),AND(AP6&gt;=Ferien!$C$16,AP6&lt;=Ferien!$D$16),AND(AP6&gt;=Ferien!$C$17,AP6&lt;=Ferien!$D$17),AND(AP6&gt;=Ferien!$C$18,AP6&lt;=Ferien!$D$18),AND(AP6&gt;=Ferien!$C$19,AP6&lt;=Ferien!$D$19),AND(AP6&gt;=Ferien!$C$20,AP6&lt;=Ferien!$D$20),AND(AP6&gt;=Ferien!$C$21,AP6&lt;=Ferien!$D$21))),1,0)</f>
        <v>1</v>
      </c>
      <c r="AU6" s="250">
        <f t="shared" ca="1" si="17"/>
        <v>45568</v>
      </c>
      <c r="AV6" s="573" t="str">
        <f t="shared" ca="1" si="18"/>
        <v/>
      </c>
      <c r="AW6" s="317" t="str">
        <f ca="1">IFERROR(VLOOKUP(AU6,Mond!$B$3:$C$59,2,0),"")</f>
        <v/>
      </c>
      <c r="AX6" s="302" t="str">
        <f ca="1">IFERROR(IF(VLOOKUP(AU6,Gießtage!$L$8:$L$98,1,0),1,0),"")</f>
        <v/>
      </c>
      <c r="AY6" s="251">
        <f ca="1">IF(AND(OR(AND(AU6&gt;=Ferien!$C$11,AU6&lt;=Ferien!$D$11),AND(AU6&gt;=Ferien!$C$12,AU6&lt;=Ferien!$D$12),AND(AU6&gt;=Ferien!$C$13,AU6&lt;=Ferien!$D$13),AND(AU6&gt;=Ferien!$C$14,AU6&lt;=Ferien!$D$14),AND(AU6&gt;=Ferien!$C$15,AU6&lt;=Ferien!$D$15),AND(AU6&gt;=Ferien!$C$16,AU6&lt;=Ferien!$D$16),AND(AU6&gt;=Ferien!$C$17,AU6&lt;=Ferien!$D$17),AND(AU6&gt;=Ferien!$C$18,AU6&lt;=Ferien!$D$18),AND(AU6&gt;=Ferien!$C$19,AU6&lt;=Ferien!$D$19),AND(AU6&gt;=Ferien!$C$20,AU6&lt;=Ferien!$D$20),AND(AU6&gt;=Ferien!$C$21,AU6&lt;=Ferien!$D$21))),1,0)</f>
        <v>0</v>
      </c>
      <c r="AZ6" s="250">
        <f t="shared" ca="1" si="19"/>
        <v>45599</v>
      </c>
      <c r="BA6" s="573" t="str">
        <f t="shared" ca="1" si="20"/>
        <v/>
      </c>
      <c r="BB6" s="317" t="str">
        <f ca="1">IFERROR(VLOOKUP(AZ6,Mond!$B$3:$C$59,2,0),"")</f>
        <v/>
      </c>
      <c r="BC6" s="302" t="str">
        <f ca="1">IFERROR(IF(VLOOKUP(AZ6,Gießtage!$L$8:$L$98,1,0),1,0),"")</f>
        <v/>
      </c>
      <c r="BD6" s="251">
        <f ca="1">IF(AND(OR(AND(AZ6&gt;=Ferien!$C$11,AZ6&lt;=Ferien!$D$11),AND(AZ6&gt;=Ferien!$C$12,AZ6&lt;=Ferien!$D$12),AND(AZ6&gt;=Ferien!$C$13,AZ6&lt;=Ferien!$D$13),AND(AZ6&gt;=Ferien!$C$14,AZ6&lt;=Ferien!$D$14),AND(AZ6&gt;=Ferien!$C$15,AZ6&lt;=Ferien!$D$15),AND(AZ6&gt;=Ferien!$C$16,AZ6&lt;=Ferien!$D$16),AND(AZ6&gt;=Ferien!$C$17,AZ6&lt;=Ferien!$D$17),AND(AZ6&gt;=Ferien!$C$18,AZ6&lt;=Ferien!$D$18),AND(AZ6&gt;=Ferien!$C$19,AZ6&lt;=Ferien!$D$19),AND(AZ6&gt;=Ferien!$C$20,AZ6&lt;=Ferien!$D$20),AND(AZ6&gt;=Ferien!$C$21,AZ6&lt;=Ferien!$D$21))),1,0)</f>
        <v>0</v>
      </c>
      <c r="BE6" s="250">
        <f t="shared" ca="1" si="21"/>
        <v>45629</v>
      </c>
      <c r="BF6" s="573" t="str">
        <f t="shared" ca="1" si="22"/>
        <v/>
      </c>
      <c r="BG6" s="317" t="str">
        <f ca="1">IFERROR(VLOOKUP(BE6,Mond!$B$3:$C$59,2,0),"")</f>
        <v/>
      </c>
      <c r="BH6" s="302" t="str">
        <f ca="1">IFERROR(IF(VLOOKUP(BE6,Gießtage!$L$8:$L$98,1,0),1,0),"")</f>
        <v/>
      </c>
      <c r="BI6" s="252">
        <f ca="1">IF(AND(OR(AND(BE6&gt;=Ferien!$C$11,BE6&lt;=Ferien!$D$11),AND(BE6&gt;=Ferien!$C$12,BE6&lt;=Ferien!$D$12),AND(BE6&gt;=Ferien!$C$13,BE6&lt;=Ferien!$D$13),AND(BE6&gt;=Ferien!$C$14,BE6&lt;=Ferien!$D$14),AND(BE6&gt;=Ferien!$C$15,BE6&lt;=Ferien!$D$15),AND(BE6&gt;=Ferien!$C$16,BE6&lt;=Ferien!$D$16),AND(BE6&gt;=Ferien!$C$17,BE6&lt;=Ferien!$D$17),AND(BE6&gt;=Ferien!$C$18,BE6&lt;=Ferien!$D$18),AND(BE6&gt;=Ferien!$C$19,BE6&lt;=Ferien!$D$19),AND(BE6&gt;=Ferien!$C$20,BE6&lt;=Ferien!$D$20),AND(BE6&gt;=Ferien!$C$21,BE6&lt;=Ferien!$D$21))),1,0)</f>
        <v>0</v>
      </c>
      <c r="BP6" s="253">
        <f t="shared" ref="BP6:BP8" ca="1" si="23">IF($BL9="","",WEEKDAY($BL9,2))</f>
        <v>1</v>
      </c>
      <c r="BT6" s="238"/>
      <c r="BU6" s="238"/>
      <c r="BV6" s="238"/>
    </row>
    <row r="7" spans="2:77" ht="19.5" customHeight="1">
      <c r="B7" s="250">
        <f t="shared" ca="1" si="0"/>
        <v>45295</v>
      </c>
      <c r="C7" s="573" t="str">
        <f t="shared" ca="1" si="1"/>
        <v/>
      </c>
      <c r="D7" s="317" t="str">
        <f ca="1">IFERROR(VLOOKUP(B7,Mond!$B$3:$C$59,2,0),"")</f>
        <v>T</v>
      </c>
      <c r="E7" s="302" t="str">
        <f ca="1">IFERROR(IF(VLOOKUP(B7,Gießtage!$L$8:$L$98,1,0),1,0),"")</f>
        <v/>
      </c>
      <c r="F7" s="251">
        <f ca="1">IF(AND(OR(AND(B7&gt;=Ferien!$C$11,B7&lt;=Ferien!$D$11),AND(B7&gt;=Ferien!$C$12,B7&lt;=Ferien!$D$12),AND(B7&gt;=Ferien!$C$13,B7&lt;=Ferien!$D$13),AND(B7&gt;=Ferien!$C$14,B7&lt;=Ferien!$D$14),AND(B7&gt;=Ferien!$C$15,B7&lt;=Ferien!$D$15),AND(B7&gt;=Ferien!$C$16,B7&lt;=Ferien!$D$16),AND(B7&gt;=Ferien!$C$17,B7&lt;=Ferien!$D$17),AND(B7&gt;=Ferien!$C$18,B7&lt;=Ferien!$D$18),AND(B7&gt;=Ferien!$C$19,B7&lt;=Ferien!$D$19),AND(B7&gt;=Ferien!$C$20,B7&lt;=Ferien!$D$20),AND(B7&gt;=Ferien!$C$21,B7&lt;=Ferien!$D$21))),1,0)</f>
        <v>1</v>
      </c>
      <c r="G7" s="250">
        <f t="shared" ca="1" si="2"/>
        <v>45326</v>
      </c>
      <c r="H7" s="573" t="s">
        <v>258</v>
      </c>
      <c r="I7" s="317" t="str">
        <f ca="1">IFERROR(VLOOKUP(G7,Mond!$B$3:$C$59,2,0),"")</f>
        <v/>
      </c>
      <c r="J7" s="302" t="str">
        <f ca="1">IFERROR(IF(VLOOKUP(G7,Gießtage!$L$8:$L$98,1,0),1,0),"")</f>
        <v/>
      </c>
      <c r="K7" s="251">
        <f ca="1">IF(AND(OR(AND(G7&gt;=Ferien!$C$11,G7&lt;=Ferien!$D$11),AND(G7&gt;=Ferien!$C$12,G7&lt;=Ferien!$D$12),AND(G7&gt;=Ferien!$C$13,G7&lt;=Ferien!$D$13),AND(G7&gt;=Ferien!$C$14,G7&lt;=Ferien!$D$14),AND(G7&gt;=Ferien!$C$15,G7&lt;=Ferien!$D$15),AND(G7&gt;=Ferien!$C$16,G7&lt;=Ferien!$D$16),AND(G7&gt;=Ferien!$C$17,G7&lt;=Ferien!$D$17),AND(G7&gt;=Ferien!$C$18,G7&lt;=Ferien!$D$18),AND(G7&gt;=Ferien!$C$19,G7&lt;=Ferien!$D$19),AND(G7&gt;=Ferien!$C$20,G7&lt;=Ferien!$D$20),AND(G7&gt;=Ferien!$C$21,G7&lt;=Ferien!$D$21))),1,0)</f>
        <v>0</v>
      </c>
      <c r="L7" s="250">
        <f t="shared" ca="1" si="3"/>
        <v>45355</v>
      </c>
      <c r="M7" s="573" t="str">
        <f t="shared" ca="1" si="4"/>
        <v/>
      </c>
      <c r="N7" s="317" t="str">
        <f ca="1">IFERROR(VLOOKUP(L7,Mond!$B$3:$C$59,2,0),"")</f>
        <v/>
      </c>
      <c r="O7" s="302" t="str">
        <f ca="1">IFERROR(IF(VLOOKUP(L7,Gießtage!$L$8:$L$98,1,0),1,0),"")</f>
        <v/>
      </c>
      <c r="P7" s="251">
        <f ca="1">IF(AND(OR(AND(L7&gt;=Ferien!$C$11,L7&lt;=Ferien!$D$11),AND(L7&gt;=Ferien!$C$12,L7&lt;=Ferien!$D$12),AND(L7&gt;=Ferien!$C$13,L7&lt;=Ferien!$D$13),AND(L7&gt;=Ferien!$C$14,L7&lt;=Ferien!$D$14),AND(L7&gt;=Ferien!$C$15,L7&lt;=Ferien!$D$15),AND(L7&gt;=Ferien!$C$16,L7&lt;=Ferien!$D$16),AND(L7&gt;=Ferien!$C$17,L7&lt;=Ferien!$D$17),AND(L7&gt;=Ferien!$C$18,L7&lt;=Ferien!$D$18),AND(L7&gt;=Ferien!$C$19,L7&lt;=Ferien!$D$19),AND(L7&gt;=Ferien!$C$20,L7&lt;=Ferien!$D$20),AND(L7&gt;=Ferien!$C$21,L7&lt;=Ferien!$D$21))),1,0)</f>
        <v>0</v>
      </c>
      <c r="Q7" s="250">
        <f t="shared" ca="1" si="5"/>
        <v>45386</v>
      </c>
      <c r="R7" s="573" t="str">
        <f t="shared" ca="1" si="6"/>
        <v/>
      </c>
      <c r="S7" s="317" t="str">
        <f ca="1">IFERROR(VLOOKUP(Q7,Mond!$B$3:$C$59,2,0),"")</f>
        <v/>
      </c>
      <c r="T7" s="302" t="str">
        <f ca="1">IFERROR(IF(VLOOKUP(Q7,Gießtage!$L$8:$L$98,1,0),1,0),"")</f>
        <v/>
      </c>
      <c r="U7" s="251">
        <f ca="1">IF(AND(OR(AND(Q7&gt;=Ferien!$C$11,Q7&lt;=Ferien!$D$11),AND(Q7&gt;=Ferien!$C$12,Q7&lt;=Ferien!$D$12),AND(Q7&gt;=Ferien!$C$13,Q7&lt;=Ferien!$D$13),AND(Q7&gt;=Ferien!$C$14,Q7&lt;=Ferien!$D$14),AND(Q7&gt;=Ferien!$C$15,Q7&lt;=Ferien!$D$15),AND(Q7&gt;=Ferien!$C$16,Q7&lt;=Ferien!$D$16),AND(Q7&gt;=Ferien!$C$17,Q7&lt;=Ferien!$D$17),AND(Q7&gt;=Ferien!$C$18,Q7&lt;=Ferien!$D$18),AND(Q7&gt;=Ferien!$C$19,Q7&lt;=Ferien!$D$19),AND(Q7&gt;=Ferien!$C$20,Q7&lt;=Ferien!$D$20),AND(Q7&gt;=Ferien!$C$21,Q7&lt;=Ferien!$D$21))),1,0)</f>
        <v>1</v>
      </c>
      <c r="V7" s="250">
        <f t="shared" ca="1" si="7"/>
        <v>45416</v>
      </c>
      <c r="W7" s="573" t="str">
        <f t="shared" ca="1" si="8"/>
        <v>{</v>
      </c>
      <c r="X7" s="317" t="str">
        <f ca="1">IFERROR(VLOOKUP(V7,Mond!$B$3:$C$59,2,0),"")</f>
        <v/>
      </c>
      <c r="Y7" s="302">
        <f ca="1">IFERROR(IF(VLOOKUP(V7,Gießtage!$L$8:$L$98,1,0),1,0),"")</f>
        <v>1</v>
      </c>
      <c r="Z7" s="251">
        <f ca="1">IF(AND(OR(AND(V7&gt;=Ferien!$C$11,V7&lt;=Ferien!$D$11),AND(V7&gt;=Ferien!$C$12,V7&lt;=Ferien!$D$12),AND(V7&gt;=Ferien!$C$13,V7&lt;=Ferien!$D$13),AND(V7&gt;=Ferien!$C$14,V7&lt;=Ferien!$D$14),AND(V7&gt;=Ferien!$C$15,V7&lt;=Ferien!$D$15),AND(V7&gt;=Ferien!$C$16,V7&lt;=Ferien!$D$16),AND(V7&gt;=Ferien!$C$17,V7&lt;=Ferien!$D$17),AND(V7&gt;=Ferien!$C$18,V7&lt;=Ferien!$D$18),AND(V7&gt;=Ferien!$C$19,V7&lt;=Ferien!$D$19),AND(V7&gt;=Ferien!$C$20,V7&lt;=Ferien!$D$20),AND(V7&gt;=Ferien!$C$21,V7&lt;=Ferien!$D$21))),1,0)</f>
        <v>0</v>
      </c>
      <c r="AA7" s="250">
        <f t="shared" ca="1" si="9"/>
        <v>45447</v>
      </c>
      <c r="AB7" s="573" t="str">
        <f t="shared" ca="1" si="10"/>
        <v/>
      </c>
      <c r="AC7" s="317" t="str">
        <f ca="1">IFERROR(VLOOKUP(AA7,Mond!$B$3:$C$59,2,0),"")</f>
        <v/>
      </c>
      <c r="AD7" s="302" t="str">
        <f ca="1">IFERROR(IF(VLOOKUP(AA7,Gießtage!$L$8:$L$98,1,0),1,0),"")</f>
        <v/>
      </c>
      <c r="AE7" s="251">
        <f ca="1">IF(AND(OR(AND(AA7&gt;=Ferien!$C$11,AA7&lt;=Ferien!$D$11),AND(AA7&gt;=Ferien!$C$12,AA7&lt;=Ferien!$D$12),AND(AA7&gt;=Ferien!$C$13,AA7&lt;=Ferien!$D$13),AND(AA7&gt;=Ferien!$C$14,AA7&lt;=Ferien!$D$14),AND(AA7&gt;=Ferien!$C$15,AA7&lt;=Ferien!$D$15),AND(AA7&gt;=Ferien!$C$16,AA7&lt;=Ferien!$D$16),AND(AA7&gt;=Ferien!$C$17,AA7&lt;=Ferien!$D$17),AND(AA7&gt;=Ferien!$C$18,AA7&lt;=Ferien!$D$18),AND(AA7&gt;=Ferien!$C$19,AA7&lt;=Ferien!$D$19),AND(AA7&gt;=Ferien!$C$20,AA7&lt;=Ferien!$D$20),AND(AA7&gt;=Ferien!$C$21,AA7&lt;=Ferien!$D$21))),1,0)</f>
        <v>0</v>
      </c>
      <c r="AF7" s="250">
        <f t="shared" ca="1" si="11"/>
        <v>45477</v>
      </c>
      <c r="AG7" s="573" t="str">
        <f t="shared" ca="1" si="12"/>
        <v/>
      </c>
      <c r="AH7" s="317" t="str">
        <f ca="1">IFERROR(VLOOKUP(AF7,Mond!$B$3:$C$59,2,0),"")</f>
        <v/>
      </c>
      <c r="AI7" s="302" t="str">
        <f ca="1">IFERROR(IF(VLOOKUP(AF7,Gießtage!$L$8:$L$98,1,0),1,0),"")</f>
        <v/>
      </c>
      <c r="AJ7" s="251">
        <f ca="1">IF(AND(OR(AND(AF7&gt;=Ferien!$C$11,AF7&lt;=Ferien!$D$11),AND(AF7&gt;=Ferien!$C$12,AF7&lt;=Ferien!$D$12),AND(AF7&gt;=Ferien!$C$13,AF7&lt;=Ferien!$D$13),AND(AF7&gt;=Ferien!$C$14,AF7&lt;=Ferien!$D$14),AND(AF7&gt;=Ferien!$C$15,AF7&lt;=Ferien!$D$15),AND(AF7&gt;=Ferien!$C$16,AF7&lt;=Ferien!$D$16),AND(AF7&gt;=Ferien!$C$17,AF7&lt;=Ferien!$D$17),AND(AF7&gt;=Ferien!$C$18,AF7&lt;=Ferien!$D$18),AND(AF7&gt;=Ferien!$C$19,AF7&lt;=Ferien!$D$19),AND(AF7&gt;=Ferien!$C$20,AF7&lt;=Ferien!$D$20),AND(AF7&gt;=Ferien!$C$21,AF7&lt;=Ferien!$D$21))),1,0)</f>
        <v>0</v>
      </c>
      <c r="AK7" s="250">
        <f t="shared" ca="1" si="13"/>
        <v>45508</v>
      </c>
      <c r="AL7" s="573" t="str">
        <f t="shared" ca="1" si="14"/>
        <v/>
      </c>
      <c r="AM7" s="317" t="str">
        <f ca="1">IFERROR(VLOOKUP(AK7,Mond!$B$3:$C$59,2,0),"")</f>
        <v>0</v>
      </c>
      <c r="AN7" s="302" t="str">
        <f ca="1">IFERROR(IF(VLOOKUP(AK7,Gießtage!$L$8:$L$98,1,0),1,0),"")</f>
        <v/>
      </c>
      <c r="AO7" s="251">
        <f ca="1">IF(AND(OR(AND(AK7&gt;=Ferien!$C$11,AK7&lt;=Ferien!$D$11),AND(AK7&gt;=Ferien!$C$12,AK7&lt;=Ferien!$D$12),AND(AK7&gt;=Ferien!$C$13,AK7&lt;=Ferien!$D$13),AND(AK7&gt;=Ferien!$C$14,AK7&lt;=Ferien!$D$14),AND(AK7&gt;=Ferien!$C$15,AK7&lt;=Ferien!$D$15),AND(AK7&gt;=Ferien!$C$16,AK7&lt;=Ferien!$D$16),AND(AK7&gt;=Ferien!$C$17,AK7&lt;=Ferien!$D$17),AND(AK7&gt;=Ferien!$C$18,AK7&lt;=Ferien!$D$18),AND(AK7&gt;=Ferien!$C$19,AK7&lt;=Ferien!$D$19),AND(AK7&gt;=Ferien!$C$20,AK7&lt;=Ferien!$D$20),AND(AK7&gt;=Ferien!$C$21,AK7&lt;=Ferien!$D$21))),1,0)</f>
        <v>1</v>
      </c>
      <c r="AP7" s="250">
        <f t="shared" ca="1" si="15"/>
        <v>45539</v>
      </c>
      <c r="AQ7" s="573" t="str">
        <f t="shared" ca="1" si="16"/>
        <v/>
      </c>
      <c r="AR7" s="317" t="str">
        <f ca="1">IFERROR(VLOOKUP(AP7,Mond!$B$3:$C$59,2,0),"")</f>
        <v/>
      </c>
      <c r="AS7" s="302" t="str">
        <f ca="1">IFERROR(IF(VLOOKUP(AP7,Gießtage!$L$8:$L$98,1,0),1,0),"")</f>
        <v/>
      </c>
      <c r="AT7" s="251">
        <f ca="1">IF(AND(OR(AND(AP7&gt;=Ferien!$C$11,AP7&lt;=Ferien!$D$11),AND(AP7&gt;=Ferien!$C$12,AP7&lt;=Ferien!$D$12),AND(AP7&gt;=Ferien!$C$13,AP7&lt;=Ferien!$D$13),AND(AP7&gt;=Ferien!$C$14,AP7&lt;=Ferien!$D$14),AND(AP7&gt;=Ferien!$C$15,AP7&lt;=Ferien!$D$15),AND(AP7&gt;=Ferien!$C$16,AP7&lt;=Ferien!$D$16),AND(AP7&gt;=Ferien!$C$17,AP7&lt;=Ferien!$D$17),AND(AP7&gt;=Ferien!$C$18,AP7&lt;=Ferien!$D$18),AND(AP7&gt;=Ferien!$C$19,AP7&lt;=Ferien!$D$19),AND(AP7&gt;=Ferien!$C$20,AP7&lt;=Ferien!$D$20),AND(AP7&gt;=Ferien!$C$21,AP7&lt;=Ferien!$D$21))),1,0)</f>
        <v>1</v>
      </c>
      <c r="AU7" s="250">
        <f t="shared" ca="1" si="17"/>
        <v>45569</v>
      </c>
      <c r="AV7" s="573" t="str">
        <f t="shared" ca="1" si="18"/>
        <v/>
      </c>
      <c r="AW7" s="317" t="str">
        <f ca="1">IFERROR(VLOOKUP(AU7,Mond!$B$3:$C$59,2,0),"")</f>
        <v/>
      </c>
      <c r="AX7" s="302" t="str">
        <f ca="1">IFERROR(IF(VLOOKUP(AU7,Gießtage!$L$8:$L$98,1,0),1,0),"")</f>
        <v/>
      </c>
      <c r="AY7" s="251">
        <f ca="1">IF(AND(OR(AND(AU7&gt;=Ferien!$C$11,AU7&lt;=Ferien!$D$11),AND(AU7&gt;=Ferien!$C$12,AU7&lt;=Ferien!$D$12),AND(AU7&gt;=Ferien!$C$13,AU7&lt;=Ferien!$D$13),AND(AU7&gt;=Ferien!$C$14,AU7&lt;=Ferien!$D$14),AND(AU7&gt;=Ferien!$C$15,AU7&lt;=Ferien!$D$15),AND(AU7&gt;=Ferien!$C$16,AU7&lt;=Ferien!$D$16),AND(AU7&gt;=Ferien!$C$17,AU7&lt;=Ferien!$D$17),AND(AU7&gt;=Ferien!$C$18,AU7&lt;=Ferien!$D$18),AND(AU7&gt;=Ferien!$C$19,AU7&lt;=Ferien!$D$19),AND(AU7&gt;=Ferien!$C$20,AU7&lt;=Ferien!$D$20),AND(AU7&gt;=Ferien!$C$21,AU7&lt;=Ferien!$D$21))),1,0)</f>
        <v>0</v>
      </c>
      <c r="AZ7" s="250">
        <f t="shared" ca="1" si="19"/>
        <v>45600</v>
      </c>
      <c r="BA7" s="573" t="str">
        <f t="shared" ca="1" si="20"/>
        <v/>
      </c>
      <c r="BB7" s="317" t="str">
        <f ca="1">IFERROR(VLOOKUP(AZ7,Mond!$B$3:$C$59,2,0),"")</f>
        <v/>
      </c>
      <c r="BC7" s="302" t="str">
        <f ca="1">IFERROR(IF(VLOOKUP(AZ7,Gießtage!$L$8:$L$98,1,0),1,0),"")</f>
        <v/>
      </c>
      <c r="BD7" s="251">
        <f ca="1">IF(AND(OR(AND(AZ7&gt;=Ferien!$C$11,AZ7&lt;=Ferien!$D$11),AND(AZ7&gt;=Ferien!$C$12,AZ7&lt;=Ferien!$D$12),AND(AZ7&gt;=Ferien!$C$13,AZ7&lt;=Ferien!$D$13),AND(AZ7&gt;=Ferien!$C$14,AZ7&lt;=Ferien!$D$14),AND(AZ7&gt;=Ferien!$C$15,AZ7&lt;=Ferien!$D$15),AND(AZ7&gt;=Ferien!$C$16,AZ7&lt;=Ferien!$D$16),AND(AZ7&gt;=Ferien!$C$17,AZ7&lt;=Ferien!$D$17),AND(AZ7&gt;=Ferien!$C$18,AZ7&lt;=Ferien!$D$18),AND(AZ7&gt;=Ferien!$C$19,AZ7&lt;=Ferien!$D$19),AND(AZ7&gt;=Ferien!$C$20,AZ7&lt;=Ferien!$D$20),AND(AZ7&gt;=Ferien!$C$21,AZ7&lt;=Ferien!$D$21))),1,0)</f>
        <v>0</v>
      </c>
      <c r="BE7" s="250">
        <f t="shared" ca="1" si="21"/>
        <v>45630</v>
      </c>
      <c r="BF7" s="573" t="str">
        <f t="shared" ca="1" si="22"/>
        <v/>
      </c>
      <c r="BG7" s="317" t="str">
        <f ca="1">IFERROR(VLOOKUP(BE7,Mond!$B$3:$C$59,2,0),"")</f>
        <v/>
      </c>
      <c r="BH7" s="302" t="str">
        <f ca="1">IFERROR(IF(VLOOKUP(BE7,Gießtage!$L$8:$L$98,1,0),1,0),"")</f>
        <v/>
      </c>
      <c r="BI7" s="252">
        <f ca="1">IF(AND(OR(AND(BE7&gt;=Ferien!$C$11,BE7&lt;=Ferien!$D$11),AND(BE7&gt;=Ferien!$C$12,BE7&lt;=Ferien!$D$12),AND(BE7&gt;=Ferien!$C$13,BE7&lt;=Ferien!$D$13),AND(BE7&gt;=Ferien!$C$14,BE7&lt;=Ferien!$D$14),AND(BE7&gt;=Ferien!$C$15,BE7&lt;=Ferien!$D$15),AND(BE7&gt;=Ferien!$C$16,BE7&lt;=Ferien!$D$16),AND(BE7&gt;=Ferien!$C$17,BE7&lt;=Ferien!$D$17),AND(BE7&gt;=Ferien!$C$18,BE7&lt;=Ferien!$D$18),AND(BE7&gt;=Ferien!$C$19,BE7&lt;=Ferien!$D$19),AND(BE7&gt;=Ferien!$C$20,BE7&lt;=Ferien!$D$20),AND(BE7&gt;=Ferien!$C$21,BE7&lt;=Ferien!$D$21))),1,0)</f>
        <v>0</v>
      </c>
      <c r="BJ7" s="792" t="str">
        <f>"Feiertage in "&amp;Feiertage!D1</f>
        <v>Feiertage in Baden-Württemberg</v>
      </c>
      <c r="BK7" s="793"/>
      <c r="BL7" s="793"/>
      <c r="BM7" s="794"/>
      <c r="BN7" s="833" t="s">
        <v>163</v>
      </c>
      <c r="BO7" s="834"/>
      <c r="BP7" s="253">
        <f t="shared" ca="1" si="23"/>
        <v>6</v>
      </c>
      <c r="BT7" s="238"/>
      <c r="BU7" s="238"/>
      <c r="BV7" s="238"/>
    </row>
    <row r="8" spans="2:77" ht="19.5" customHeight="1" thickBot="1">
      <c r="B8" s="250">
        <f t="shared" ca="1" si="0"/>
        <v>45296</v>
      </c>
      <c r="C8" s="573" t="str">
        <f t="shared" ca="1" si="1"/>
        <v/>
      </c>
      <c r="D8" s="317" t="str">
        <f ca="1">IFERROR(VLOOKUP(B8,Mond!$B$3:$C$59,2,0),"")</f>
        <v/>
      </c>
      <c r="E8" s="302" t="str">
        <f ca="1">IFERROR(IF(VLOOKUP(B8,Gießtage!$L$8:$L$98,1,0),1,0),"")</f>
        <v/>
      </c>
      <c r="F8" s="251">
        <f ca="1">IF(AND(OR(AND(B8&gt;=Ferien!$C$11,B8&lt;=Ferien!$D$11),AND(B8&gt;=Ferien!$C$12,B8&lt;=Ferien!$D$12),AND(B8&gt;=Ferien!$C$13,B8&lt;=Ferien!$D$13),AND(B8&gt;=Ferien!$C$14,B8&lt;=Ferien!$D$14),AND(B8&gt;=Ferien!$C$15,B8&lt;=Ferien!$D$15),AND(B8&gt;=Ferien!$C$16,B8&lt;=Ferien!$D$16),AND(B8&gt;=Ferien!$C$17,B8&lt;=Ferien!$D$17),AND(B8&gt;=Ferien!$C$18,B8&lt;=Ferien!$D$18),AND(B8&gt;=Ferien!$C$19,B8&lt;=Ferien!$D$19),AND(B8&gt;=Ferien!$C$20,B8&lt;=Ferien!$D$20),AND(B8&gt;=Ferien!$C$21,B8&lt;=Ferien!$D$21))),1,0)</f>
        <v>1</v>
      </c>
      <c r="G8" s="250">
        <f t="shared" ca="1" si="2"/>
        <v>45327</v>
      </c>
      <c r="H8" s="573" t="s">
        <v>258</v>
      </c>
      <c r="I8" s="317" t="str">
        <f ca="1">IFERROR(VLOOKUP(G8,Mond!$B$3:$C$59,2,0),"")</f>
        <v/>
      </c>
      <c r="J8" s="302" t="str">
        <f ca="1">IFERROR(IF(VLOOKUP(G8,Gießtage!$L$8:$L$98,1,0),1,0),"")</f>
        <v/>
      </c>
      <c r="K8" s="251">
        <f ca="1">IF(AND(OR(AND(G8&gt;=Ferien!$C$11,G8&lt;=Ferien!$D$11),AND(G8&gt;=Ferien!$C$12,G8&lt;=Ferien!$D$12),AND(G8&gt;=Ferien!$C$13,G8&lt;=Ferien!$D$13),AND(G8&gt;=Ferien!$C$14,G8&lt;=Ferien!$D$14),AND(G8&gt;=Ferien!$C$15,G8&lt;=Ferien!$D$15),AND(G8&gt;=Ferien!$C$16,G8&lt;=Ferien!$D$16),AND(G8&gt;=Ferien!$C$17,G8&lt;=Ferien!$D$17),AND(G8&gt;=Ferien!$C$18,G8&lt;=Ferien!$D$18),AND(G8&gt;=Ferien!$C$19,G8&lt;=Ferien!$D$19),AND(G8&gt;=Ferien!$C$20,G8&lt;=Ferien!$D$20),AND(G8&gt;=Ferien!$C$21,G8&lt;=Ferien!$D$21))),1,0)</f>
        <v>0</v>
      </c>
      <c r="L8" s="250">
        <f t="shared" ca="1" si="3"/>
        <v>45356</v>
      </c>
      <c r="M8" s="573" t="str">
        <f t="shared" ca="1" si="4"/>
        <v/>
      </c>
      <c r="N8" s="317" t="str">
        <f ca="1">IFERROR(VLOOKUP(L8,Mond!$B$3:$C$59,2,0),"")</f>
        <v/>
      </c>
      <c r="O8" s="302" t="str">
        <f ca="1">IFERROR(IF(VLOOKUP(L8,Gießtage!$L$8:$L$98,1,0),1,0),"")</f>
        <v/>
      </c>
      <c r="P8" s="251">
        <f ca="1">IF(AND(OR(AND(L8&gt;=Ferien!$C$11,L8&lt;=Ferien!$D$11),AND(L8&gt;=Ferien!$C$12,L8&lt;=Ferien!$D$12),AND(L8&gt;=Ferien!$C$13,L8&lt;=Ferien!$D$13),AND(L8&gt;=Ferien!$C$14,L8&lt;=Ferien!$D$14),AND(L8&gt;=Ferien!$C$15,L8&lt;=Ferien!$D$15),AND(L8&gt;=Ferien!$C$16,L8&lt;=Ferien!$D$16),AND(L8&gt;=Ferien!$C$17,L8&lt;=Ferien!$D$17),AND(L8&gt;=Ferien!$C$18,L8&lt;=Ferien!$D$18),AND(L8&gt;=Ferien!$C$19,L8&lt;=Ferien!$D$19),AND(L8&gt;=Ferien!$C$20,L8&lt;=Ferien!$D$20),AND(L8&gt;=Ferien!$C$21,L8&lt;=Ferien!$D$21))),1,0)</f>
        <v>0</v>
      </c>
      <c r="Q8" s="250">
        <f t="shared" ca="1" si="5"/>
        <v>45387</v>
      </c>
      <c r="R8" s="573" t="str">
        <f t="shared" ca="1" si="6"/>
        <v/>
      </c>
      <c r="S8" s="317" t="str">
        <f ca="1">IFERROR(VLOOKUP(Q8,Mond!$B$3:$C$59,2,0),"")</f>
        <v/>
      </c>
      <c r="T8" s="302" t="str">
        <f ca="1">IFERROR(IF(VLOOKUP(Q8,Gießtage!$L$8:$L$98,1,0),1,0),"")</f>
        <v/>
      </c>
      <c r="U8" s="251">
        <f ca="1">IF(AND(OR(AND(Q8&gt;=Ferien!$C$11,Q8&lt;=Ferien!$D$11),AND(Q8&gt;=Ferien!$C$12,Q8&lt;=Ferien!$D$12),AND(Q8&gt;=Ferien!$C$13,Q8&lt;=Ferien!$D$13),AND(Q8&gt;=Ferien!$C$14,Q8&lt;=Ferien!$D$14),AND(Q8&gt;=Ferien!$C$15,Q8&lt;=Ferien!$D$15),AND(Q8&gt;=Ferien!$C$16,Q8&lt;=Ferien!$D$16),AND(Q8&gt;=Ferien!$C$17,Q8&lt;=Ferien!$D$17),AND(Q8&gt;=Ferien!$C$18,Q8&lt;=Ferien!$D$18),AND(Q8&gt;=Ferien!$C$19,Q8&lt;=Ferien!$D$19),AND(Q8&gt;=Ferien!$C$20,Q8&lt;=Ferien!$D$20),AND(Q8&gt;=Ferien!$C$21,Q8&lt;=Ferien!$D$21))),1,0)</f>
        <v>1</v>
      </c>
      <c r="V8" s="250">
        <f t="shared" ca="1" si="7"/>
        <v>45417</v>
      </c>
      <c r="W8" s="573" t="str">
        <f t="shared" ca="1" si="8"/>
        <v/>
      </c>
      <c r="X8" s="317" t="str">
        <f ca="1">IFERROR(VLOOKUP(V8,Mond!$B$3:$C$59,2,0),"")</f>
        <v/>
      </c>
      <c r="Y8" s="302" t="str">
        <f ca="1">IFERROR(IF(VLOOKUP(V8,Gießtage!$L$8:$L$98,1,0),1,0),"")</f>
        <v/>
      </c>
      <c r="Z8" s="251">
        <f ca="1">IF(AND(OR(AND(V8&gt;=Ferien!$C$11,V8&lt;=Ferien!$D$11),AND(V8&gt;=Ferien!$C$12,V8&lt;=Ferien!$D$12),AND(V8&gt;=Ferien!$C$13,V8&lt;=Ferien!$D$13),AND(V8&gt;=Ferien!$C$14,V8&lt;=Ferien!$D$14),AND(V8&gt;=Ferien!$C$15,V8&lt;=Ferien!$D$15),AND(V8&gt;=Ferien!$C$16,V8&lt;=Ferien!$D$16),AND(V8&gt;=Ferien!$C$17,V8&lt;=Ferien!$D$17),AND(V8&gt;=Ferien!$C$18,V8&lt;=Ferien!$D$18),AND(V8&gt;=Ferien!$C$19,V8&lt;=Ferien!$D$19),AND(V8&gt;=Ferien!$C$20,V8&lt;=Ferien!$D$20),AND(V8&gt;=Ferien!$C$21,V8&lt;=Ferien!$D$21))),1,0)</f>
        <v>0</v>
      </c>
      <c r="AA8" s="250">
        <f t="shared" ca="1" si="9"/>
        <v>45448</v>
      </c>
      <c r="AB8" s="573" t="str">
        <f t="shared" ca="1" si="10"/>
        <v/>
      </c>
      <c r="AC8" s="317" t="str">
        <f ca="1">IFERROR(VLOOKUP(AA8,Mond!$B$3:$C$59,2,0),"")</f>
        <v/>
      </c>
      <c r="AD8" s="302" t="str">
        <f ca="1">IFERROR(IF(VLOOKUP(AA8,Gießtage!$L$8:$L$98,1,0),1,0),"")</f>
        <v/>
      </c>
      <c r="AE8" s="251">
        <f ca="1">IF(AND(OR(AND(AA8&gt;=Ferien!$C$11,AA8&lt;=Ferien!$D$11),AND(AA8&gt;=Ferien!$C$12,AA8&lt;=Ferien!$D$12),AND(AA8&gt;=Ferien!$C$13,AA8&lt;=Ferien!$D$13),AND(AA8&gt;=Ferien!$C$14,AA8&lt;=Ferien!$D$14),AND(AA8&gt;=Ferien!$C$15,AA8&lt;=Ferien!$D$15),AND(AA8&gt;=Ferien!$C$16,AA8&lt;=Ferien!$D$16),AND(AA8&gt;=Ferien!$C$17,AA8&lt;=Ferien!$D$17),AND(AA8&gt;=Ferien!$C$18,AA8&lt;=Ferien!$D$18),AND(AA8&gt;=Ferien!$C$19,AA8&lt;=Ferien!$D$19),AND(AA8&gt;=Ferien!$C$20,AA8&lt;=Ferien!$D$20),AND(AA8&gt;=Ferien!$C$21,AA8&lt;=Ferien!$D$21))),1,0)</f>
        <v>0</v>
      </c>
      <c r="AF8" s="250">
        <f t="shared" ca="1" si="11"/>
        <v>45478</v>
      </c>
      <c r="AG8" s="573" t="str">
        <f t="shared" ca="1" si="12"/>
        <v>{</v>
      </c>
      <c r="AH8" s="317" t="str">
        <f ca="1">IFERROR(VLOOKUP(AF8,Mond!$B$3:$C$59,2,0),"")</f>
        <v>0</v>
      </c>
      <c r="AI8" s="302">
        <f ca="1">IFERROR(IF(VLOOKUP(AF8,Gießtage!$L$8:$L$98,1,0),1,0),"")</f>
        <v>1</v>
      </c>
      <c r="AJ8" s="251">
        <f ca="1">IF(AND(OR(AND(AF8&gt;=Ferien!$C$11,AF8&lt;=Ferien!$D$11),AND(AF8&gt;=Ferien!$C$12,AF8&lt;=Ferien!$D$12),AND(AF8&gt;=Ferien!$C$13,AF8&lt;=Ferien!$D$13),AND(AF8&gt;=Ferien!$C$14,AF8&lt;=Ferien!$D$14),AND(AF8&gt;=Ferien!$C$15,AF8&lt;=Ferien!$D$15),AND(AF8&gt;=Ferien!$C$16,AF8&lt;=Ferien!$D$16),AND(AF8&gt;=Ferien!$C$17,AF8&lt;=Ferien!$D$17),AND(AF8&gt;=Ferien!$C$18,AF8&lt;=Ferien!$D$18),AND(AF8&gt;=Ferien!$C$19,AF8&lt;=Ferien!$D$19),AND(AF8&gt;=Ferien!$C$20,AF8&lt;=Ferien!$D$20),AND(AF8&gt;=Ferien!$C$21,AF8&lt;=Ferien!$D$21))),1,0)</f>
        <v>0</v>
      </c>
      <c r="AK8" s="250">
        <f t="shared" ca="1" si="13"/>
        <v>45509</v>
      </c>
      <c r="AL8" s="573" t="str">
        <f t="shared" ca="1" si="14"/>
        <v/>
      </c>
      <c r="AM8" s="317" t="str">
        <f ca="1">IFERROR(VLOOKUP(AK8,Mond!$B$3:$C$59,2,0),"")</f>
        <v/>
      </c>
      <c r="AN8" s="302" t="str">
        <f ca="1">IFERROR(IF(VLOOKUP(AK8,Gießtage!$L$8:$L$98,1,0),1,0),"")</f>
        <v/>
      </c>
      <c r="AO8" s="251">
        <f ca="1">IF(AND(OR(AND(AK8&gt;=Ferien!$C$11,AK8&lt;=Ferien!$D$11),AND(AK8&gt;=Ferien!$C$12,AK8&lt;=Ferien!$D$12),AND(AK8&gt;=Ferien!$C$13,AK8&lt;=Ferien!$D$13),AND(AK8&gt;=Ferien!$C$14,AK8&lt;=Ferien!$D$14),AND(AK8&gt;=Ferien!$C$15,AK8&lt;=Ferien!$D$15),AND(AK8&gt;=Ferien!$C$16,AK8&lt;=Ferien!$D$16),AND(AK8&gt;=Ferien!$C$17,AK8&lt;=Ferien!$D$17),AND(AK8&gt;=Ferien!$C$18,AK8&lt;=Ferien!$D$18),AND(AK8&gt;=Ferien!$C$19,AK8&lt;=Ferien!$D$19),AND(AK8&gt;=Ferien!$C$20,AK8&lt;=Ferien!$D$20),AND(AK8&gt;=Ferien!$C$21,AK8&lt;=Ferien!$D$21))),1,0)</f>
        <v>1</v>
      </c>
      <c r="AP8" s="250">
        <f t="shared" ca="1" si="15"/>
        <v>45540</v>
      </c>
      <c r="AQ8" s="573" t="str">
        <f t="shared" ca="1" si="16"/>
        <v/>
      </c>
      <c r="AR8" s="317" t="str">
        <f ca="1">IFERROR(VLOOKUP(AP8,Mond!$B$3:$C$59,2,0),"")</f>
        <v/>
      </c>
      <c r="AS8" s="302" t="str">
        <f ca="1">IFERROR(IF(VLOOKUP(AP8,Gießtage!$L$8:$L$98,1,0),1,0),"")</f>
        <v/>
      </c>
      <c r="AT8" s="251">
        <f ca="1">IF(AND(OR(AND(AP8&gt;=Ferien!$C$11,AP8&lt;=Ferien!$D$11),AND(AP8&gt;=Ferien!$C$12,AP8&lt;=Ferien!$D$12),AND(AP8&gt;=Ferien!$C$13,AP8&lt;=Ferien!$D$13),AND(AP8&gt;=Ferien!$C$14,AP8&lt;=Ferien!$D$14),AND(AP8&gt;=Ferien!$C$15,AP8&lt;=Ferien!$D$15),AND(AP8&gt;=Ferien!$C$16,AP8&lt;=Ferien!$D$16),AND(AP8&gt;=Ferien!$C$17,AP8&lt;=Ferien!$D$17),AND(AP8&gt;=Ferien!$C$18,AP8&lt;=Ferien!$D$18),AND(AP8&gt;=Ferien!$C$19,AP8&lt;=Ferien!$D$19),AND(AP8&gt;=Ferien!$C$20,AP8&lt;=Ferien!$D$20),AND(AP8&gt;=Ferien!$C$21,AP8&lt;=Ferien!$D$21))),1,0)</f>
        <v>1</v>
      </c>
      <c r="AU8" s="250">
        <f t="shared" ca="1" si="17"/>
        <v>45570</v>
      </c>
      <c r="AV8" s="573" t="str">
        <f t="shared" ca="1" si="18"/>
        <v>{</v>
      </c>
      <c r="AW8" s="317" t="str">
        <f ca="1">IFERROR(VLOOKUP(AU8,Mond!$B$3:$C$59,2,0),"")</f>
        <v/>
      </c>
      <c r="AX8" s="302">
        <f ca="1">IFERROR(IF(VLOOKUP(AU8,Gießtage!$L$8:$L$98,1,0),1,0),"")</f>
        <v>1</v>
      </c>
      <c r="AY8" s="251">
        <f ca="1">IF(AND(OR(AND(AU8&gt;=Ferien!$C$11,AU8&lt;=Ferien!$D$11),AND(AU8&gt;=Ferien!$C$12,AU8&lt;=Ferien!$D$12),AND(AU8&gt;=Ferien!$C$13,AU8&lt;=Ferien!$D$13),AND(AU8&gt;=Ferien!$C$14,AU8&lt;=Ferien!$D$14),AND(AU8&gt;=Ferien!$C$15,AU8&lt;=Ferien!$D$15),AND(AU8&gt;=Ferien!$C$16,AU8&lt;=Ferien!$D$16),AND(AU8&gt;=Ferien!$C$17,AU8&lt;=Ferien!$D$17),AND(AU8&gt;=Ferien!$C$18,AU8&lt;=Ferien!$D$18),AND(AU8&gt;=Ferien!$C$19,AU8&lt;=Ferien!$D$19),AND(AU8&gt;=Ferien!$C$20,AU8&lt;=Ferien!$D$20),AND(AU8&gt;=Ferien!$C$21,AU8&lt;=Ferien!$D$21))),1,0)</f>
        <v>0</v>
      </c>
      <c r="AZ8" s="250">
        <f t="shared" ca="1" si="19"/>
        <v>45601</v>
      </c>
      <c r="BA8" s="573" t="str">
        <f t="shared" ca="1" si="20"/>
        <v/>
      </c>
      <c r="BB8" s="317" t="str">
        <f ca="1">IFERROR(VLOOKUP(AZ8,Mond!$B$3:$C$59,2,0),"")</f>
        <v/>
      </c>
      <c r="BC8" s="302" t="str">
        <f ca="1">IFERROR(IF(VLOOKUP(AZ8,Gießtage!$L$8:$L$98,1,0),1,0),"")</f>
        <v/>
      </c>
      <c r="BD8" s="251">
        <f ca="1">IF(AND(OR(AND(AZ8&gt;=Ferien!$C$11,AZ8&lt;=Ferien!$D$11),AND(AZ8&gt;=Ferien!$C$12,AZ8&lt;=Ferien!$D$12),AND(AZ8&gt;=Ferien!$C$13,AZ8&lt;=Ferien!$D$13),AND(AZ8&gt;=Ferien!$C$14,AZ8&lt;=Ferien!$D$14),AND(AZ8&gt;=Ferien!$C$15,AZ8&lt;=Ferien!$D$15),AND(AZ8&gt;=Ferien!$C$16,AZ8&lt;=Ferien!$D$16),AND(AZ8&gt;=Ferien!$C$17,AZ8&lt;=Ferien!$D$17),AND(AZ8&gt;=Ferien!$C$18,AZ8&lt;=Ferien!$D$18),AND(AZ8&gt;=Ferien!$C$19,AZ8&lt;=Ferien!$D$19),AND(AZ8&gt;=Ferien!$C$20,AZ8&lt;=Ferien!$D$20),AND(AZ8&gt;=Ferien!$C$21,AZ8&lt;=Ferien!$D$21))),1,0)</f>
        <v>0</v>
      </c>
      <c r="BE8" s="250">
        <f t="shared" ca="1" si="21"/>
        <v>45631</v>
      </c>
      <c r="BF8" s="573" t="str">
        <f t="shared" ca="1" si="22"/>
        <v/>
      </c>
      <c r="BG8" s="317" t="str">
        <f ca="1">IFERROR(VLOOKUP(BE8,Mond!$B$3:$C$59,2,0),"")</f>
        <v/>
      </c>
      <c r="BH8" s="302" t="str">
        <f ca="1">IFERROR(IF(VLOOKUP(BE8,Gießtage!$L$8:$L$98,1,0),1,0),"")</f>
        <v/>
      </c>
      <c r="BI8" s="252">
        <f ca="1">IF(AND(OR(AND(BE8&gt;=Ferien!$C$11,BE8&lt;=Ferien!$D$11),AND(BE8&gt;=Ferien!$C$12,BE8&lt;=Ferien!$D$12),AND(BE8&gt;=Ferien!$C$13,BE8&lt;=Ferien!$D$13),AND(BE8&gt;=Ferien!$C$14,BE8&lt;=Ferien!$D$14),AND(BE8&gt;=Ferien!$C$15,BE8&lt;=Ferien!$D$15),AND(BE8&gt;=Ferien!$C$16,BE8&lt;=Ferien!$D$16),AND(BE8&gt;=Ferien!$C$17,BE8&lt;=Ferien!$D$17),AND(BE8&gt;=Ferien!$C$18,BE8&lt;=Ferien!$D$18),AND(BE8&gt;=Ferien!$C$19,BE8&lt;=Ferien!$D$19),AND(BE8&gt;=Ferien!$C$20,BE8&lt;=Ferien!$D$20),AND(BE8&gt;=Ferien!$C$21,BE8&lt;=Ferien!$D$21))),1,0)</f>
        <v>0</v>
      </c>
      <c r="BJ8" s="795"/>
      <c r="BK8" s="796"/>
      <c r="BL8" s="796"/>
      <c r="BM8" s="797"/>
      <c r="BN8" s="835">
        <f ca="1">BJ1</f>
        <v>2024</v>
      </c>
      <c r="BO8" s="836"/>
      <c r="BP8" s="253" t="str">
        <f t="shared" si="23"/>
        <v/>
      </c>
      <c r="BT8" s="238"/>
      <c r="BU8" s="238"/>
      <c r="BV8" s="238"/>
    </row>
    <row r="9" spans="2:77" ht="19.5" customHeight="1" thickBot="1">
      <c r="B9" s="250">
        <f t="shared" ca="1" si="0"/>
        <v>45297</v>
      </c>
      <c r="C9" s="573" t="str">
        <f t="shared" ca="1" si="1"/>
        <v>{</v>
      </c>
      <c r="D9" s="317" t="str">
        <f ca="1">IFERROR(VLOOKUP(B9,Mond!$B$3:$C$59,2,0),"")</f>
        <v/>
      </c>
      <c r="E9" s="302">
        <f ca="1">IFERROR(IF(VLOOKUP(B9,Gießtage!$L$8:$L$98,1,0),1,0),"")</f>
        <v>1</v>
      </c>
      <c r="F9" s="251">
        <f ca="1">IF(AND(OR(AND(B9&gt;=Ferien!$C$11,B9&lt;=Ferien!$D$11),AND(B9&gt;=Ferien!$C$12,B9&lt;=Ferien!$D$12),AND(B9&gt;=Ferien!$C$13,B9&lt;=Ferien!$D$13),AND(B9&gt;=Ferien!$C$14,B9&lt;=Ferien!$D$14),AND(B9&gt;=Ferien!$C$15,B9&lt;=Ferien!$D$15),AND(B9&gt;=Ferien!$C$16,B9&lt;=Ferien!$D$16),AND(B9&gt;=Ferien!$C$17,B9&lt;=Ferien!$D$17),AND(B9&gt;=Ferien!$C$18,B9&lt;=Ferien!$D$18),AND(B9&gt;=Ferien!$C$19,B9&lt;=Ferien!$D$19),AND(B9&gt;=Ferien!$C$20,B9&lt;=Ferien!$D$20),AND(B9&gt;=Ferien!$C$21,B9&lt;=Ferien!$D$21))),1,0)</f>
        <v>0</v>
      </c>
      <c r="G9" s="250">
        <f t="shared" ca="1" si="2"/>
        <v>45328</v>
      </c>
      <c r="H9" s="573" t="s">
        <v>220</v>
      </c>
      <c r="I9" s="317" t="str">
        <f ca="1">IFERROR(VLOOKUP(G9,Mond!$B$3:$C$59,2,0),"")</f>
        <v/>
      </c>
      <c r="J9" s="302" t="str">
        <f ca="1">IFERROR(IF(VLOOKUP(G9,Gießtage!$L$8:$L$98,1,0),1,0),"")</f>
        <v/>
      </c>
      <c r="K9" s="251">
        <f ca="1">IF(AND(OR(AND(G9&gt;=Ferien!$C$11,G9&lt;=Ferien!$D$11),AND(G9&gt;=Ferien!$C$12,G9&lt;=Ferien!$D$12),AND(G9&gt;=Ferien!$C$13,G9&lt;=Ferien!$D$13),AND(G9&gt;=Ferien!$C$14,G9&lt;=Ferien!$D$14),AND(G9&gt;=Ferien!$C$15,G9&lt;=Ferien!$D$15),AND(G9&gt;=Ferien!$C$16,G9&lt;=Ferien!$D$16),AND(G9&gt;=Ferien!$C$17,G9&lt;=Ferien!$D$17),AND(G9&gt;=Ferien!$C$18,G9&lt;=Ferien!$D$18),AND(G9&gt;=Ferien!$C$19,G9&lt;=Ferien!$D$19),AND(G9&gt;=Ferien!$C$20,G9&lt;=Ferien!$D$20),AND(G9&gt;=Ferien!$C$21,G9&lt;=Ferien!$D$21))),1,0)</f>
        <v>0</v>
      </c>
      <c r="L9" s="250">
        <f t="shared" ca="1" si="3"/>
        <v>45357</v>
      </c>
      <c r="M9" s="573" t="str">
        <f t="shared" ca="1" si="4"/>
        <v/>
      </c>
      <c r="N9" s="317" t="str">
        <f ca="1">IFERROR(VLOOKUP(L9,Mond!$B$3:$C$59,2,0),"")</f>
        <v/>
      </c>
      <c r="O9" s="302" t="str">
        <f ca="1">IFERROR(IF(VLOOKUP(L9,Gießtage!$L$8:$L$98,1,0),1,0),"")</f>
        <v/>
      </c>
      <c r="P9" s="251">
        <f ca="1">IF(AND(OR(AND(L9&gt;=Ferien!$C$11,L9&lt;=Ferien!$D$11),AND(L9&gt;=Ferien!$C$12,L9&lt;=Ferien!$D$12),AND(L9&gt;=Ferien!$C$13,L9&lt;=Ferien!$D$13),AND(L9&gt;=Ferien!$C$14,L9&lt;=Ferien!$D$14),AND(L9&gt;=Ferien!$C$15,L9&lt;=Ferien!$D$15),AND(L9&gt;=Ferien!$C$16,L9&lt;=Ferien!$D$16),AND(L9&gt;=Ferien!$C$17,L9&lt;=Ferien!$D$17),AND(L9&gt;=Ferien!$C$18,L9&lt;=Ferien!$D$18),AND(L9&gt;=Ferien!$C$19,L9&lt;=Ferien!$D$19),AND(L9&gt;=Ferien!$C$20,L9&lt;=Ferien!$D$20),AND(L9&gt;=Ferien!$C$21,L9&lt;=Ferien!$D$21))),1,0)</f>
        <v>0</v>
      </c>
      <c r="Q9" s="250">
        <f t="shared" ca="1" si="5"/>
        <v>45388</v>
      </c>
      <c r="R9" s="573" t="str">
        <f t="shared" ca="1" si="6"/>
        <v>{</v>
      </c>
      <c r="S9" s="317" t="str">
        <f ca="1">IFERROR(VLOOKUP(Q9,Mond!$B$3:$C$59,2,0),"")</f>
        <v/>
      </c>
      <c r="T9" s="302">
        <f ca="1">IFERROR(IF(VLOOKUP(Q9,Gießtage!$L$8:$L$98,1,0),1,0),"")</f>
        <v>1</v>
      </c>
      <c r="U9" s="251">
        <f ca="1">IF(AND(OR(AND(Q9&gt;=Ferien!$C$11,Q9&lt;=Ferien!$D$11),AND(Q9&gt;=Ferien!$C$12,Q9&lt;=Ferien!$D$12),AND(Q9&gt;=Ferien!$C$13,Q9&lt;=Ferien!$D$13),AND(Q9&gt;=Ferien!$C$14,Q9&lt;=Ferien!$D$14),AND(Q9&gt;=Ferien!$C$15,Q9&lt;=Ferien!$D$15),AND(Q9&gt;=Ferien!$C$16,Q9&lt;=Ferien!$D$16),AND(Q9&gt;=Ferien!$C$17,Q9&lt;=Ferien!$D$17),AND(Q9&gt;=Ferien!$C$18,Q9&lt;=Ferien!$D$18),AND(Q9&gt;=Ferien!$C$19,Q9&lt;=Ferien!$D$19),AND(Q9&gt;=Ferien!$C$20,Q9&lt;=Ferien!$D$20),AND(Q9&gt;=Ferien!$C$21,Q9&lt;=Ferien!$D$21))),1,0)</f>
        <v>0</v>
      </c>
      <c r="V9" s="250">
        <f t="shared" ca="1" si="7"/>
        <v>45418</v>
      </c>
      <c r="W9" s="573" t="str">
        <f t="shared" ca="1" si="8"/>
        <v/>
      </c>
      <c r="X9" s="317" t="str">
        <f ca="1">IFERROR(VLOOKUP(V9,Mond!$B$3:$C$59,2,0),"")</f>
        <v/>
      </c>
      <c r="Y9" s="302" t="str">
        <f ca="1">IFERROR(IF(VLOOKUP(V9,Gießtage!$L$8:$L$98,1,0),1,0),"")</f>
        <v/>
      </c>
      <c r="Z9" s="251">
        <f ca="1">IF(AND(OR(AND(V9&gt;=Ferien!$C$11,V9&lt;=Ferien!$D$11),AND(V9&gt;=Ferien!$C$12,V9&lt;=Ferien!$D$12),AND(V9&gt;=Ferien!$C$13,V9&lt;=Ferien!$D$13),AND(V9&gt;=Ferien!$C$14,V9&lt;=Ferien!$D$14),AND(V9&gt;=Ferien!$C$15,V9&lt;=Ferien!$D$15),AND(V9&gt;=Ferien!$C$16,V9&lt;=Ferien!$D$16),AND(V9&gt;=Ferien!$C$17,V9&lt;=Ferien!$D$17),AND(V9&gt;=Ferien!$C$18,V9&lt;=Ferien!$D$18),AND(V9&gt;=Ferien!$C$19,V9&lt;=Ferien!$D$19),AND(V9&gt;=Ferien!$C$20,V9&lt;=Ferien!$D$20),AND(V9&gt;=Ferien!$C$21,V9&lt;=Ferien!$D$21))),1,0)</f>
        <v>0</v>
      </c>
      <c r="AA9" s="250">
        <f t="shared" ca="1" si="9"/>
        <v>45449</v>
      </c>
      <c r="AB9" s="573" t="str">
        <f t="shared" ca="1" si="10"/>
        <v/>
      </c>
      <c r="AC9" s="317" t="str">
        <f ca="1">IFERROR(VLOOKUP(AA9,Mond!$B$3:$C$59,2,0),"")</f>
        <v>0</v>
      </c>
      <c r="AD9" s="302" t="str">
        <f ca="1">IFERROR(IF(VLOOKUP(AA9,Gießtage!$L$8:$L$98,1,0),1,0),"")</f>
        <v/>
      </c>
      <c r="AE9" s="251">
        <f ca="1">IF(AND(OR(AND(AA9&gt;=Ferien!$C$11,AA9&lt;=Ferien!$D$11),AND(AA9&gt;=Ferien!$C$12,AA9&lt;=Ferien!$D$12),AND(AA9&gt;=Ferien!$C$13,AA9&lt;=Ferien!$D$13),AND(AA9&gt;=Ferien!$C$14,AA9&lt;=Ferien!$D$14),AND(AA9&gt;=Ferien!$C$15,AA9&lt;=Ferien!$D$15),AND(AA9&gt;=Ferien!$C$16,AA9&lt;=Ferien!$D$16),AND(AA9&gt;=Ferien!$C$17,AA9&lt;=Ferien!$D$17),AND(AA9&gt;=Ferien!$C$18,AA9&lt;=Ferien!$D$18),AND(AA9&gt;=Ferien!$C$19,AA9&lt;=Ferien!$D$19),AND(AA9&gt;=Ferien!$C$20,AA9&lt;=Ferien!$D$20),AND(AA9&gt;=Ferien!$C$21,AA9&lt;=Ferien!$D$21))),1,0)</f>
        <v>0</v>
      </c>
      <c r="AF9" s="250">
        <f t="shared" ca="1" si="11"/>
        <v>45479</v>
      </c>
      <c r="AG9" s="573" t="str">
        <f t="shared" ca="1" si="12"/>
        <v>{</v>
      </c>
      <c r="AH9" s="317" t="str">
        <f ca="1">IFERROR(VLOOKUP(AF9,Mond!$B$3:$C$59,2,0),"")</f>
        <v/>
      </c>
      <c r="AI9" s="302">
        <f ca="1">IFERROR(IF(VLOOKUP(AF9,Gießtage!$L$8:$L$98,1,0),1,0),"")</f>
        <v>1</v>
      </c>
      <c r="AJ9" s="251">
        <f ca="1">IF(AND(OR(AND(AF9&gt;=Ferien!$C$11,AF9&lt;=Ferien!$D$11),AND(AF9&gt;=Ferien!$C$12,AF9&lt;=Ferien!$D$12),AND(AF9&gt;=Ferien!$C$13,AF9&lt;=Ferien!$D$13),AND(AF9&gt;=Ferien!$C$14,AF9&lt;=Ferien!$D$14),AND(AF9&gt;=Ferien!$C$15,AF9&lt;=Ferien!$D$15),AND(AF9&gt;=Ferien!$C$16,AF9&lt;=Ferien!$D$16),AND(AF9&gt;=Ferien!$C$17,AF9&lt;=Ferien!$D$17),AND(AF9&gt;=Ferien!$C$18,AF9&lt;=Ferien!$D$18),AND(AF9&gt;=Ferien!$C$19,AF9&lt;=Ferien!$D$19),AND(AF9&gt;=Ferien!$C$20,AF9&lt;=Ferien!$D$20),AND(AF9&gt;=Ferien!$C$21,AF9&lt;=Ferien!$D$21))),1,0)</f>
        <v>0</v>
      </c>
      <c r="AK9" s="250">
        <f t="shared" ca="1" si="13"/>
        <v>45510</v>
      </c>
      <c r="AL9" s="573" t="str">
        <f t="shared" ca="1" si="14"/>
        <v/>
      </c>
      <c r="AM9" s="317" t="str">
        <f ca="1">IFERROR(VLOOKUP(AK9,Mond!$B$3:$C$59,2,0),"")</f>
        <v/>
      </c>
      <c r="AN9" s="302" t="str">
        <f ca="1">IFERROR(IF(VLOOKUP(AK9,Gießtage!$L$8:$L$98,1,0),1,0),"")</f>
        <v/>
      </c>
      <c r="AO9" s="251">
        <f ca="1">IF(AND(OR(AND(AK9&gt;=Ferien!$C$11,AK9&lt;=Ferien!$D$11),AND(AK9&gt;=Ferien!$C$12,AK9&lt;=Ferien!$D$12),AND(AK9&gt;=Ferien!$C$13,AK9&lt;=Ferien!$D$13),AND(AK9&gt;=Ferien!$C$14,AK9&lt;=Ferien!$D$14),AND(AK9&gt;=Ferien!$C$15,AK9&lt;=Ferien!$D$15),AND(AK9&gt;=Ferien!$C$16,AK9&lt;=Ferien!$D$16),AND(AK9&gt;=Ferien!$C$17,AK9&lt;=Ferien!$D$17),AND(AK9&gt;=Ferien!$C$18,AK9&lt;=Ferien!$D$18),AND(AK9&gt;=Ferien!$C$19,AK9&lt;=Ferien!$D$19),AND(AK9&gt;=Ferien!$C$20,AK9&lt;=Ferien!$D$20),AND(AK9&gt;=Ferien!$C$21,AK9&lt;=Ferien!$D$21))),1,0)</f>
        <v>1</v>
      </c>
      <c r="AP9" s="250">
        <f t="shared" ca="1" si="15"/>
        <v>45541</v>
      </c>
      <c r="AQ9" s="573" t="str">
        <f t="shared" ca="1" si="16"/>
        <v/>
      </c>
      <c r="AR9" s="317" t="str">
        <f ca="1">IFERROR(VLOOKUP(AP9,Mond!$B$3:$C$59,2,0),"")</f>
        <v/>
      </c>
      <c r="AS9" s="302" t="str">
        <f ca="1">IFERROR(IF(VLOOKUP(AP9,Gießtage!$L$8:$L$98,1,0),1,0),"")</f>
        <v/>
      </c>
      <c r="AT9" s="251">
        <f ca="1">IF(AND(OR(AND(AP9&gt;=Ferien!$C$11,AP9&lt;=Ferien!$D$11),AND(AP9&gt;=Ferien!$C$12,AP9&lt;=Ferien!$D$12),AND(AP9&gt;=Ferien!$C$13,AP9&lt;=Ferien!$D$13),AND(AP9&gt;=Ferien!$C$14,AP9&lt;=Ferien!$D$14),AND(AP9&gt;=Ferien!$C$15,AP9&lt;=Ferien!$D$15),AND(AP9&gt;=Ferien!$C$16,AP9&lt;=Ferien!$D$16),AND(AP9&gt;=Ferien!$C$17,AP9&lt;=Ferien!$D$17),AND(AP9&gt;=Ferien!$C$18,AP9&lt;=Ferien!$D$18),AND(AP9&gt;=Ferien!$C$19,AP9&lt;=Ferien!$D$19),AND(AP9&gt;=Ferien!$C$20,AP9&lt;=Ferien!$D$20),AND(AP9&gt;=Ferien!$C$21,AP9&lt;=Ferien!$D$21))),1,0)</f>
        <v>1</v>
      </c>
      <c r="AU9" s="250">
        <f t="shared" ca="1" si="17"/>
        <v>45571</v>
      </c>
      <c r="AV9" s="573" t="str">
        <f t="shared" ca="1" si="18"/>
        <v>{</v>
      </c>
      <c r="AW9" s="317" t="str">
        <f ca="1">IFERROR(VLOOKUP(AU9,Mond!$B$3:$C$59,2,0),"")</f>
        <v/>
      </c>
      <c r="AX9" s="302">
        <f ca="1">IFERROR(IF(VLOOKUP(AU9,Gießtage!$L$8:$L$98,1,0),1,0),"")</f>
        <v>1</v>
      </c>
      <c r="AY9" s="251">
        <f ca="1">IF(AND(OR(AND(AU9&gt;=Ferien!$C$11,AU9&lt;=Ferien!$D$11),AND(AU9&gt;=Ferien!$C$12,AU9&lt;=Ferien!$D$12),AND(AU9&gt;=Ferien!$C$13,AU9&lt;=Ferien!$D$13),AND(AU9&gt;=Ferien!$C$14,AU9&lt;=Ferien!$D$14),AND(AU9&gt;=Ferien!$C$15,AU9&lt;=Ferien!$D$15),AND(AU9&gt;=Ferien!$C$16,AU9&lt;=Ferien!$D$16),AND(AU9&gt;=Ferien!$C$17,AU9&lt;=Ferien!$D$17),AND(AU9&gt;=Ferien!$C$18,AU9&lt;=Ferien!$D$18),AND(AU9&gt;=Ferien!$C$19,AU9&lt;=Ferien!$D$19),AND(AU9&gt;=Ferien!$C$20,AU9&lt;=Ferien!$D$20),AND(AU9&gt;=Ferien!$C$21,AU9&lt;=Ferien!$D$21))),1,0)</f>
        <v>0</v>
      </c>
      <c r="AZ9" s="250">
        <f t="shared" ca="1" si="19"/>
        <v>45602</v>
      </c>
      <c r="BA9" s="573" t="str">
        <f t="shared" ca="1" si="20"/>
        <v/>
      </c>
      <c r="BB9" s="317" t="str">
        <f ca="1">IFERROR(VLOOKUP(AZ9,Mond!$B$3:$C$59,2,0),"")</f>
        <v/>
      </c>
      <c r="BC9" s="302" t="str">
        <f ca="1">IFERROR(IF(VLOOKUP(AZ9,Gießtage!$L$8:$L$98,1,0),1,0),"")</f>
        <v/>
      </c>
      <c r="BD9" s="251">
        <f ca="1">IF(AND(OR(AND(AZ9&gt;=Ferien!$C$11,AZ9&lt;=Ferien!$D$11),AND(AZ9&gt;=Ferien!$C$12,AZ9&lt;=Ferien!$D$12),AND(AZ9&gt;=Ferien!$C$13,AZ9&lt;=Ferien!$D$13),AND(AZ9&gt;=Ferien!$C$14,AZ9&lt;=Ferien!$D$14),AND(AZ9&gt;=Ferien!$C$15,AZ9&lt;=Ferien!$D$15),AND(AZ9&gt;=Ferien!$C$16,AZ9&lt;=Ferien!$D$16),AND(AZ9&gt;=Ferien!$C$17,AZ9&lt;=Ferien!$D$17),AND(AZ9&gt;=Ferien!$C$18,AZ9&lt;=Ferien!$D$18),AND(AZ9&gt;=Ferien!$C$19,AZ9&lt;=Ferien!$D$19),AND(AZ9&gt;=Ferien!$C$20,AZ9&lt;=Ferien!$D$20),AND(AZ9&gt;=Ferien!$C$21,AZ9&lt;=Ferien!$D$21))),1,0)</f>
        <v>0</v>
      </c>
      <c r="BE9" s="250">
        <f t="shared" ca="1" si="21"/>
        <v>45632</v>
      </c>
      <c r="BF9" s="573" t="str">
        <f t="shared" ca="1" si="22"/>
        <v/>
      </c>
      <c r="BG9" s="317" t="str">
        <f ca="1">IFERROR(VLOOKUP(BE9,Mond!$B$3:$C$59,2,0),"")</f>
        <v/>
      </c>
      <c r="BH9" s="302" t="str">
        <f ca="1">IFERROR(IF(VLOOKUP(BE9,Gießtage!$L$8:$L$98,1,0),1,0),"")</f>
        <v/>
      </c>
      <c r="BI9" s="252">
        <f ca="1">IF(AND(OR(AND(BE9&gt;=Ferien!$C$11,BE9&lt;=Ferien!$D$11),AND(BE9&gt;=Ferien!$C$12,BE9&lt;=Ferien!$D$12),AND(BE9&gt;=Ferien!$C$13,BE9&lt;=Ferien!$D$13),AND(BE9&gt;=Ferien!$C$14,BE9&lt;=Ferien!$D$14),AND(BE9&gt;=Ferien!$C$15,BE9&lt;=Ferien!$D$15),AND(BE9&gt;=Ferien!$C$16,BE9&lt;=Ferien!$D$16),AND(BE9&gt;=Ferien!$C$17,BE9&lt;=Ferien!$D$17),AND(BE9&gt;=Ferien!$C$18,BE9&lt;=Ferien!$D$18),AND(BE9&gt;=Ferien!$C$19,BE9&lt;=Ferien!$D$19),AND(BE9&gt;=Ferien!$C$20,BE9&lt;=Ferien!$D$20),AND(BE9&gt;=Ferien!$C$21,BE9&lt;=Ferien!$D$21))),1,0)</f>
        <v>0</v>
      </c>
      <c r="BJ9" s="837" t="str">
        <f ca="1">IF(BL9="","",Feiertage!C2)</f>
        <v>Neujahr</v>
      </c>
      <c r="BK9" s="838"/>
      <c r="BL9" s="338">
        <f ca="1">Feiertage!B2</f>
        <v>45292</v>
      </c>
      <c r="BM9" s="339">
        <f ca="1">BL9</f>
        <v>45292</v>
      </c>
      <c r="BN9" s="314" t="str">
        <f ca="1">IF(BP9=4,BL9+1,IF(BP9=2,BL9-1,""))</f>
        <v/>
      </c>
      <c r="BO9" s="315" t="str">
        <f ca="1">BN9</f>
        <v/>
      </c>
      <c r="BP9" s="253">
        <f ca="1">IF($BL9="","",WEEKDAY($BL9,2))</f>
        <v>1</v>
      </c>
      <c r="BQ9" s="236">
        <v>1</v>
      </c>
      <c r="BR9" s="235">
        <f t="shared" ref="BR9:BR12" ca="1" si="24">IF(WEEKDAY(BL9)=7,1,0)</f>
        <v>0</v>
      </c>
      <c r="BS9" s="235">
        <f t="shared" ref="BS9:BS12" ca="1" si="25">IF(WEEKDAY(BL9)=1,1,0)</f>
        <v>0</v>
      </c>
      <c r="BT9" s="238"/>
      <c r="BU9" s="238"/>
      <c r="BV9" s="238"/>
    </row>
    <row r="10" spans="2:77" ht="19.5" customHeight="1" thickBot="1">
      <c r="B10" s="250">
        <f t="shared" ca="1" si="0"/>
        <v>45298</v>
      </c>
      <c r="C10" s="573" t="str">
        <f t="shared" ca="1" si="1"/>
        <v>{</v>
      </c>
      <c r="D10" s="317" t="str">
        <f ca="1">IFERROR(VLOOKUP(B10,Mond!$B$3:$C$59,2,0),"")</f>
        <v/>
      </c>
      <c r="E10" s="302">
        <f ca="1">IFERROR(IF(VLOOKUP(B10,Gießtage!$L$8:$L$98,1,0),1,0),"")</f>
        <v>1</v>
      </c>
      <c r="F10" s="251">
        <f ca="1">IF(AND(OR(AND(B10&gt;=Ferien!$C$11,B10&lt;=Ferien!$D$11),AND(B10&gt;=Ferien!$C$12,B10&lt;=Ferien!$D$12),AND(B10&gt;=Ferien!$C$13,B10&lt;=Ferien!$D$13),AND(B10&gt;=Ferien!$C$14,B10&lt;=Ferien!$D$14),AND(B10&gt;=Ferien!$C$15,B10&lt;=Ferien!$D$15),AND(B10&gt;=Ferien!$C$16,B10&lt;=Ferien!$D$16),AND(B10&gt;=Ferien!$C$17,B10&lt;=Ferien!$D$17),AND(B10&gt;=Ferien!$C$18,B10&lt;=Ferien!$D$18),AND(B10&gt;=Ferien!$C$19,B10&lt;=Ferien!$D$19),AND(B10&gt;=Ferien!$C$20,B10&lt;=Ferien!$D$20),AND(B10&gt;=Ferien!$C$21,B10&lt;=Ferien!$D$21))),1,0)</f>
        <v>0</v>
      </c>
      <c r="G10" s="250">
        <f t="shared" ca="1" si="2"/>
        <v>45329</v>
      </c>
      <c r="H10" s="573" t="s">
        <v>220</v>
      </c>
      <c r="I10" s="317" t="str">
        <f ca="1">IFERROR(VLOOKUP(G10,Mond!$B$3:$C$59,2,0),"")</f>
        <v/>
      </c>
      <c r="J10" s="302" t="str">
        <f ca="1">IFERROR(IF(VLOOKUP(G10,Gießtage!$L$8:$L$98,1,0),1,0),"")</f>
        <v/>
      </c>
      <c r="K10" s="251">
        <f ca="1">IF(AND(OR(AND(G10&gt;=Ferien!$C$11,G10&lt;=Ferien!$D$11),AND(G10&gt;=Ferien!$C$12,G10&lt;=Ferien!$D$12),AND(G10&gt;=Ferien!$C$13,G10&lt;=Ferien!$D$13),AND(G10&gt;=Ferien!$C$14,G10&lt;=Ferien!$D$14),AND(G10&gt;=Ferien!$C$15,G10&lt;=Ferien!$D$15),AND(G10&gt;=Ferien!$C$16,G10&lt;=Ferien!$D$16),AND(G10&gt;=Ferien!$C$17,G10&lt;=Ferien!$D$17),AND(G10&gt;=Ferien!$C$18,G10&lt;=Ferien!$D$18),AND(G10&gt;=Ferien!$C$19,G10&lt;=Ferien!$D$19),AND(G10&gt;=Ferien!$C$20,G10&lt;=Ferien!$D$20),AND(G10&gt;=Ferien!$C$21,G10&lt;=Ferien!$D$21))),1,0)</f>
        <v>0</v>
      </c>
      <c r="L10" s="250">
        <f t="shared" ca="1" si="3"/>
        <v>45358</v>
      </c>
      <c r="M10" s="573" t="str">
        <f t="shared" ca="1" si="4"/>
        <v/>
      </c>
      <c r="N10" s="317" t="str">
        <f ca="1">IFERROR(VLOOKUP(L10,Mond!$B$3:$C$59,2,0),"")</f>
        <v/>
      </c>
      <c r="O10" s="302" t="str">
        <f ca="1">IFERROR(IF(VLOOKUP(L10,Gießtage!$L$8:$L$98,1,0),1,0),"")</f>
        <v/>
      </c>
      <c r="P10" s="251">
        <f ca="1">IF(AND(OR(AND(L10&gt;=Ferien!$C$11,L10&lt;=Ferien!$D$11),AND(L10&gt;=Ferien!$C$12,L10&lt;=Ferien!$D$12),AND(L10&gt;=Ferien!$C$13,L10&lt;=Ferien!$D$13),AND(L10&gt;=Ferien!$C$14,L10&lt;=Ferien!$D$14),AND(L10&gt;=Ferien!$C$15,L10&lt;=Ferien!$D$15),AND(L10&gt;=Ferien!$C$16,L10&lt;=Ferien!$D$16),AND(L10&gt;=Ferien!$C$17,L10&lt;=Ferien!$D$17),AND(L10&gt;=Ferien!$C$18,L10&lt;=Ferien!$D$18),AND(L10&gt;=Ferien!$C$19,L10&lt;=Ferien!$D$19),AND(L10&gt;=Ferien!$C$20,L10&lt;=Ferien!$D$20),AND(L10&gt;=Ferien!$C$21,L10&lt;=Ferien!$D$21))),1,0)</f>
        <v>0</v>
      </c>
      <c r="Q10" s="250">
        <f t="shared" ca="1" si="5"/>
        <v>45389</v>
      </c>
      <c r="R10" s="573" t="str">
        <f t="shared" ca="1" si="6"/>
        <v>{</v>
      </c>
      <c r="S10" s="317" t="str">
        <f ca="1">IFERROR(VLOOKUP(Q10,Mond!$B$3:$C$59,2,0),"")</f>
        <v/>
      </c>
      <c r="T10" s="302">
        <f ca="1">IFERROR(IF(VLOOKUP(Q10,Gießtage!$L$8:$L$98,1,0),1,0),"")</f>
        <v>1</v>
      </c>
      <c r="U10" s="251">
        <f ca="1">IF(AND(OR(AND(Q10&gt;=Ferien!$C$11,Q10&lt;=Ferien!$D$11),AND(Q10&gt;=Ferien!$C$12,Q10&lt;=Ferien!$D$12),AND(Q10&gt;=Ferien!$C$13,Q10&lt;=Ferien!$D$13),AND(Q10&gt;=Ferien!$C$14,Q10&lt;=Ferien!$D$14),AND(Q10&gt;=Ferien!$C$15,Q10&lt;=Ferien!$D$15),AND(Q10&gt;=Ferien!$C$16,Q10&lt;=Ferien!$D$16),AND(Q10&gt;=Ferien!$C$17,Q10&lt;=Ferien!$D$17),AND(Q10&gt;=Ferien!$C$18,Q10&lt;=Ferien!$D$18),AND(Q10&gt;=Ferien!$C$19,Q10&lt;=Ferien!$D$19),AND(Q10&gt;=Ferien!$C$20,Q10&lt;=Ferien!$D$20),AND(Q10&gt;=Ferien!$C$21,Q10&lt;=Ferien!$D$21))),1,0)</f>
        <v>0</v>
      </c>
      <c r="V10" s="250">
        <f t="shared" ca="1" si="7"/>
        <v>45419</v>
      </c>
      <c r="W10" s="573" t="str">
        <f t="shared" ca="1" si="8"/>
        <v/>
      </c>
      <c r="X10" s="317" t="str">
        <f ca="1">IFERROR(VLOOKUP(V10,Mond!$B$3:$C$59,2,0),"")</f>
        <v/>
      </c>
      <c r="Y10" s="302" t="str">
        <f ca="1">IFERROR(IF(VLOOKUP(V10,Gießtage!$L$8:$L$98,1,0),1,0),"")</f>
        <v/>
      </c>
      <c r="Z10" s="251">
        <f ca="1">IF(AND(OR(AND(V10&gt;=Ferien!$C$11,V10&lt;=Ferien!$D$11),AND(V10&gt;=Ferien!$C$12,V10&lt;=Ferien!$D$12),AND(V10&gt;=Ferien!$C$13,V10&lt;=Ferien!$D$13),AND(V10&gt;=Ferien!$C$14,V10&lt;=Ferien!$D$14),AND(V10&gt;=Ferien!$C$15,V10&lt;=Ferien!$D$15),AND(V10&gt;=Ferien!$C$16,V10&lt;=Ferien!$D$16),AND(V10&gt;=Ferien!$C$17,V10&lt;=Ferien!$D$17),AND(V10&gt;=Ferien!$C$18,V10&lt;=Ferien!$D$18),AND(V10&gt;=Ferien!$C$19,V10&lt;=Ferien!$D$19),AND(V10&gt;=Ferien!$C$20,V10&lt;=Ferien!$D$20),AND(V10&gt;=Ferien!$C$21,V10&lt;=Ferien!$D$21))),1,0)</f>
        <v>0</v>
      </c>
      <c r="AA10" s="250">
        <f t="shared" ca="1" si="9"/>
        <v>45450</v>
      </c>
      <c r="AB10" s="573" t="str">
        <f t="shared" ca="1" si="10"/>
        <v/>
      </c>
      <c r="AC10" s="317" t="str">
        <f ca="1">IFERROR(VLOOKUP(AA10,Mond!$B$3:$C$59,2,0),"")</f>
        <v/>
      </c>
      <c r="AD10" s="302" t="str">
        <f ca="1">IFERROR(IF(VLOOKUP(AA10,Gießtage!$L$8:$L$98,1,0),1,0),"")</f>
        <v/>
      </c>
      <c r="AE10" s="251">
        <f ca="1">IF(AND(OR(AND(AA10&gt;=Ferien!$C$11,AA10&lt;=Ferien!$D$11),AND(AA10&gt;=Ferien!$C$12,AA10&lt;=Ferien!$D$12),AND(AA10&gt;=Ferien!$C$13,AA10&lt;=Ferien!$D$13),AND(AA10&gt;=Ferien!$C$14,AA10&lt;=Ferien!$D$14),AND(AA10&gt;=Ferien!$C$15,AA10&lt;=Ferien!$D$15),AND(AA10&gt;=Ferien!$C$16,AA10&lt;=Ferien!$D$16),AND(AA10&gt;=Ferien!$C$17,AA10&lt;=Ferien!$D$17),AND(AA10&gt;=Ferien!$C$18,AA10&lt;=Ferien!$D$18),AND(AA10&gt;=Ferien!$C$19,AA10&lt;=Ferien!$D$19),AND(AA10&gt;=Ferien!$C$20,AA10&lt;=Ferien!$D$20),AND(AA10&gt;=Ferien!$C$21,AA10&lt;=Ferien!$D$21))),1,0)</f>
        <v>0</v>
      </c>
      <c r="AF10" s="250">
        <f t="shared" ca="1" si="11"/>
        <v>45480</v>
      </c>
      <c r="AG10" s="573" t="str">
        <f t="shared" ca="1" si="12"/>
        <v/>
      </c>
      <c r="AH10" s="317" t="str">
        <f ca="1">IFERROR(VLOOKUP(AF10,Mond!$B$3:$C$59,2,0),"")</f>
        <v/>
      </c>
      <c r="AI10" s="302" t="str">
        <f ca="1">IFERROR(IF(VLOOKUP(AF10,Gießtage!$L$8:$L$98,1,0),1,0),"")</f>
        <v/>
      </c>
      <c r="AJ10" s="251">
        <f ca="1">IF(AND(OR(AND(AF10&gt;=Ferien!$C$11,AF10&lt;=Ferien!$D$11),AND(AF10&gt;=Ferien!$C$12,AF10&lt;=Ferien!$D$12),AND(AF10&gt;=Ferien!$C$13,AF10&lt;=Ferien!$D$13),AND(AF10&gt;=Ferien!$C$14,AF10&lt;=Ferien!$D$14),AND(AF10&gt;=Ferien!$C$15,AF10&lt;=Ferien!$D$15),AND(AF10&gt;=Ferien!$C$16,AF10&lt;=Ferien!$D$16),AND(AF10&gt;=Ferien!$C$17,AF10&lt;=Ferien!$D$17),AND(AF10&gt;=Ferien!$C$18,AF10&lt;=Ferien!$D$18),AND(AF10&gt;=Ferien!$C$19,AF10&lt;=Ferien!$D$19),AND(AF10&gt;=Ferien!$C$20,AF10&lt;=Ferien!$D$20),AND(AF10&gt;=Ferien!$C$21,AF10&lt;=Ferien!$D$21))),1,0)</f>
        <v>0</v>
      </c>
      <c r="AK10" s="250">
        <f t="shared" ca="1" si="13"/>
        <v>45511</v>
      </c>
      <c r="AL10" s="573" t="str">
        <f t="shared" ca="1" si="14"/>
        <v/>
      </c>
      <c r="AM10" s="317" t="str">
        <f ca="1">IFERROR(VLOOKUP(AK10,Mond!$B$3:$C$59,2,0),"")</f>
        <v/>
      </c>
      <c r="AN10" s="302" t="str">
        <f ca="1">IFERROR(IF(VLOOKUP(AK10,Gießtage!$L$8:$L$98,1,0),1,0),"")</f>
        <v/>
      </c>
      <c r="AO10" s="251">
        <f ca="1">IF(AND(OR(AND(AK10&gt;=Ferien!$C$11,AK10&lt;=Ferien!$D$11),AND(AK10&gt;=Ferien!$C$12,AK10&lt;=Ferien!$D$12),AND(AK10&gt;=Ferien!$C$13,AK10&lt;=Ferien!$D$13),AND(AK10&gt;=Ferien!$C$14,AK10&lt;=Ferien!$D$14),AND(AK10&gt;=Ferien!$C$15,AK10&lt;=Ferien!$D$15),AND(AK10&gt;=Ferien!$C$16,AK10&lt;=Ferien!$D$16),AND(AK10&gt;=Ferien!$C$17,AK10&lt;=Ferien!$D$17),AND(AK10&gt;=Ferien!$C$18,AK10&lt;=Ferien!$D$18),AND(AK10&gt;=Ferien!$C$19,AK10&lt;=Ferien!$D$19),AND(AK10&gt;=Ferien!$C$20,AK10&lt;=Ferien!$D$20),AND(AK10&gt;=Ferien!$C$21,AK10&lt;=Ferien!$D$21))),1,0)</f>
        <v>1</v>
      </c>
      <c r="AP10" s="250">
        <f t="shared" ca="1" si="15"/>
        <v>45542</v>
      </c>
      <c r="AQ10" s="573" t="str">
        <f t="shared" ca="1" si="16"/>
        <v>{</v>
      </c>
      <c r="AR10" s="317" t="str">
        <f ca="1">IFERROR(VLOOKUP(AP10,Mond!$B$3:$C$59,2,0),"")</f>
        <v/>
      </c>
      <c r="AS10" s="302">
        <f ca="1">IFERROR(IF(VLOOKUP(AP10,Gießtage!$L$8:$L$98,1,0),1,0),"")</f>
        <v>1</v>
      </c>
      <c r="AT10" s="251">
        <f ca="1">IF(AND(OR(AND(AP10&gt;=Ferien!$C$11,AP10&lt;=Ferien!$D$11),AND(AP10&gt;=Ferien!$C$12,AP10&lt;=Ferien!$D$12),AND(AP10&gt;=Ferien!$C$13,AP10&lt;=Ferien!$D$13),AND(AP10&gt;=Ferien!$C$14,AP10&lt;=Ferien!$D$14),AND(AP10&gt;=Ferien!$C$15,AP10&lt;=Ferien!$D$15),AND(AP10&gt;=Ferien!$C$16,AP10&lt;=Ferien!$D$16),AND(AP10&gt;=Ferien!$C$17,AP10&lt;=Ferien!$D$17),AND(AP10&gt;=Ferien!$C$18,AP10&lt;=Ferien!$D$18),AND(AP10&gt;=Ferien!$C$19,AP10&lt;=Ferien!$D$19),AND(AP10&gt;=Ferien!$C$20,AP10&lt;=Ferien!$D$20),AND(AP10&gt;=Ferien!$C$21,AP10&lt;=Ferien!$D$21))),1,0)</f>
        <v>1</v>
      </c>
      <c r="AU10" s="250">
        <f t="shared" ca="1" si="17"/>
        <v>45572</v>
      </c>
      <c r="AV10" s="573" t="str">
        <f t="shared" ca="1" si="18"/>
        <v/>
      </c>
      <c r="AW10" s="317" t="str">
        <f ca="1">IFERROR(VLOOKUP(AU10,Mond!$B$3:$C$59,2,0),"")</f>
        <v/>
      </c>
      <c r="AX10" s="302" t="str">
        <f ca="1">IFERROR(IF(VLOOKUP(AU10,Gießtage!$L$8:$L$98,1,0),1,0),"")</f>
        <v/>
      </c>
      <c r="AY10" s="251">
        <f ca="1">IF(AND(OR(AND(AU10&gt;=Ferien!$C$11,AU10&lt;=Ferien!$D$11),AND(AU10&gt;=Ferien!$C$12,AU10&lt;=Ferien!$D$12),AND(AU10&gt;=Ferien!$C$13,AU10&lt;=Ferien!$D$13),AND(AU10&gt;=Ferien!$C$14,AU10&lt;=Ferien!$D$14),AND(AU10&gt;=Ferien!$C$15,AU10&lt;=Ferien!$D$15),AND(AU10&gt;=Ferien!$C$16,AU10&lt;=Ferien!$D$16),AND(AU10&gt;=Ferien!$C$17,AU10&lt;=Ferien!$D$17),AND(AU10&gt;=Ferien!$C$18,AU10&lt;=Ferien!$D$18),AND(AU10&gt;=Ferien!$C$19,AU10&lt;=Ferien!$D$19),AND(AU10&gt;=Ferien!$C$20,AU10&lt;=Ferien!$D$20),AND(AU10&gt;=Ferien!$C$21,AU10&lt;=Ferien!$D$21))),1,0)</f>
        <v>0</v>
      </c>
      <c r="AZ10" s="250">
        <f t="shared" ca="1" si="19"/>
        <v>45603</v>
      </c>
      <c r="BA10" s="573" t="str">
        <f t="shared" ca="1" si="20"/>
        <v/>
      </c>
      <c r="BB10" s="317" t="str">
        <f ca="1">IFERROR(VLOOKUP(AZ10,Mond!$B$3:$C$59,2,0),"")</f>
        <v/>
      </c>
      <c r="BC10" s="302" t="str">
        <f ca="1">IFERROR(IF(VLOOKUP(AZ10,Gießtage!$L$8:$L$98,1,0),1,0),"")</f>
        <v/>
      </c>
      <c r="BD10" s="251">
        <f ca="1">IF(AND(OR(AND(AZ10&gt;=Ferien!$C$11,AZ10&lt;=Ferien!$D$11),AND(AZ10&gt;=Ferien!$C$12,AZ10&lt;=Ferien!$D$12),AND(AZ10&gt;=Ferien!$C$13,AZ10&lt;=Ferien!$D$13),AND(AZ10&gt;=Ferien!$C$14,AZ10&lt;=Ferien!$D$14),AND(AZ10&gt;=Ferien!$C$15,AZ10&lt;=Ferien!$D$15),AND(AZ10&gt;=Ferien!$C$16,AZ10&lt;=Ferien!$D$16),AND(AZ10&gt;=Ferien!$C$17,AZ10&lt;=Ferien!$D$17),AND(AZ10&gt;=Ferien!$C$18,AZ10&lt;=Ferien!$D$18),AND(AZ10&gt;=Ferien!$C$19,AZ10&lt;=Ferien!$D$19),AND(AZ10&gt;=Ferien!$C$20,AZ10&lt;=Ferien!$D$20),AND(AZ10&gt;=Ferien!$C$21,AZ10&lt;=Ferien!$D$21))),1,0)</f>
        <v>0</v>
      </c>
      <c r="BE10" s="250">
        <f t="shared" ca="1" si="21"/>
        <v>45633</v>
      </c>
      <c r="BF10" s="573" t="str">
        <f t="shared" ca="1" si="22"/>
        <v>{</v>
      </c>
      <c r="BG10" s="317" t="str">
        <f ca="1">IFERROR(VLOOKUP(BE10,Mond!$B$3:$C$59,2,0),"")</f>
        <v/>
      </c>
      <c r="BH10" s="302">
        <f ca="1">IFERROR(IF(VLOOKUP(BE10,Gießtage!$L$8:$L$98,1,0),1,0),"")</f>
        <v>1</v>
      </c>
      <c r="BI10" s="252">
        <f ca="1">IF(AND(OR(AND(BE10&gt;=Ferien!$C$11,BE10&lt;=Ferien!$D$11),AND(BE10&gt;=Ferien!$C$12,BE10&lt;=Ferien!$D$12),AND(BE10&gt;=Ferien!$C$13,BE10&lt;=Ferien!$D$13),AND(BE10&gt;=Ferien!$C$14,BE10&lt;=Ferien!$D$14),AND(BE10&gt;=Ferien!$C$15,BE10&lt;=Ferien!$D$15),AND(BE10&gt;=Ferien!$C$16,BE10&lt;=Ferien!$D$16),AND(BE10&gt;=Ferien!$C$17,BE10&lt;=Ferien!$D$17),AND(BE10&gt;=Ferien!$C$18,BE10&lt;=Ferien!$D$18),AND(BE10&gt;=Ferien!$C$19,BE10&lt;=Ferien!$D$19),AND(BE10&gt;=Ferien!$C$20,BE10&lt;=Ferien!$D$20),AND(BE10&gt;=Ferien!$C$21,BE10&lt;=Ferien!$D$21))),1,0)</f>
        <v>0</v>
      </c>
      <c r="BJ10" s="811" t="str">
        <f ca="1">IF(BL10="","",Feiertage!C3)</f>
        <v>Heilige 3 Könige (BY)</v>
      </c>
      <c r="BK10" s="812"/>
      <c r="BL10" s="338">
        <f ca="1">Feiertage!B3</f>
        <v>45297</v>
      </c>
      <c r="BM10" s="304">
        <f t="shared" ref="BM10:BM12" ca="1" si="26">BL10</f>
        <v>45297</v>
      </c>
      <c r="BN10" s="314" t="str">
        <f t="shared" ref="BN10:BN12" ca="1" si="27">IF(BP10=4,BL10+1,IF(BP10=2,BL10-1,""))</f>
        <v/>
      </c>
      <c r="BO10" s="315" t="str">
        <f t="shared" ref="BO10:BO12" ca="1" si="28">BN10</f>
        <v/>
      </c>
      <c r="BP10" s="253">
        <f t="shared" ref="BP10:BP12" ca="1" si="29">IF($BL10="","",WEEKDAY($BL10,2))</f>
        <v>6</v>
      </c>
      <c r="BQ10" s="236">
        <v>1</v>
      </c>
      <c r="BR10" s="235">
        <f t="shared" ca="1" si="24"/>
        <v>1</v>
      </c>
      <c r="BS10" s="235">
        <f t="shared" ca="1" si="25"/>
        <v>0</v>
      </c>
      <c r="BT10" s="238"/>
      <c r="BU10" s="238"/>
      <c r="BV10" s="238"/>
    </row>
    <row r="11" spans="2:77" ht="19.5" customHeight="1" thickBot="1">
      <c r="B11" s="250">
        <f t="shared" ca="1" si="0"/>
        <v>45299</v>
      </c>
      <c r="C11" s="573" t="str">
        <f t="shared" ca="1" si="1"/>
        <v/>
      </c>
      <c r="D11" s="317" t="str">
        <f ca="1">IFERROR(VLOOKUP(B11,Mond!$B$3:$C$59,2,0),"")</f>
        <v/>
      </c>
      <c r="E11" s="302" t="str">
        <f ca="1">IFERROR(IF(VLOOKUP(B11,Gießtage!$L$8:$L$98,1,0),1,0),"")</f>
        <v/>
      </c>
      <c r="F11" s="251">
        <f ca="1">IF(AND(OR(AND(B11&gt;=Ferien!$C$11,B11&lt;=Ferien!$D$11),AND(B11&gt;=Ferien!$C$12,B11&lt;=Ferien!$D$12),AND(B11&gt;=Ferien!$C$13,B11&lt;=Ferien!$D$13),AND(B11&gt;=Ferien!$C$14,B11&lt;=Ferien!$D$14),AND(B11&gt;=Ferien!$C$15,B11&lt;=Ferien!$D$15),AND(B11&gt;=Ferien!$C$16,B11&lt;=Ferien!$D$16),AND(B11&gt;=Ferien!$C$17,B11&lt;=Ferien!$D$17),AND(B11&gt;=Ferien!$C$18,B11&lt;=Ferien!$D$18),AND(B11&gt;=Ferien!$C$19,B11&lt;=Ferien!$D$19),AND(B11&gt;=Ferien!$C$20,B11&lt;=Ferien!$D$20),AND(B11&gt;=Ferien!$C$21,B11&lt;=Ferien!$D$21))),1,0)</f>
        <v>0</v>
      </c>
      <c r="G11" s="250">
        <f t="shared" ca="1" si="2"/>
        <v>45330</v>
      </c>
      <c r="H11" s="573" t="s">
        <v>258</v>
      </c>
      <c r="I11" s="317" t="str">
        <f ca="1">IFERROR(VLOOKUP(G11,Mond!$B$3:$C$59,2,0),"")</f>
        <v/>
      </c>
      <c r="J11" s="302" t="str">
        <f ca="1">IFERROR(IF(VLOOKUP(G11,Gießtage!$L$8:$L$98,1,0),1,0),"")</f>
        <v/>
      </c>
      <c r="K11" s="251">
        <f ca="1">IF(AND(OR(AND(G11&gt;=Ferien!$C$11,G11&lt;=Ferien!$D$11),AND(G11&gt;=Ferien!$C$12,G11&lt;=Ferien!$D$12),AND(G11&gt;=Ferien!$C$13,G11&lt;=Ferien!$D$13),AND(G11&gt;=Ferien!$C$14,G11&lt;=Ferien!$D$14),AND(G11&gt;=Ferien!$C$15,G11&lt;=Ferien!$D$15),AND(G11&gt;=Ferien!$C$16,G11&lt;=Ferien!$D$16),AND(G11&gt;=Ferien!$C$17,G11&lt;=Ferien!$D$17),AND(G11&gt;=Ferien!$C$18,G11&lt;=Ferien!$D$18),AND(G11&gt;=Ferien!$C$19,G11&lt;=Ferien!$D$19),AND(G11&gt;=Ferien!$C$20,G11&lt;=Ferien!$D$20),AND(G11&gt;=Ferien!$C$21,G11&lt;=Ferien!$D$21))),1,0)</f>
        <v>0</v>
      </c>
      <c r="L11" s="250">
        <f t="shared" ca="1" si="3"/>
        <v>45359</v>
      </c>
      <c r="M11" s="573" t="str">
        <f t="shared" ca="1" si="4"/>
        <v/>
      </c>
      <c r="N11" s="317" t="str">
        <f ca="1">IFERROR(VLOOKUP(L11,Mond!$B$3:$C$59,2,0),"")</f>
        <v/>
      </c>
      <c r="O11" s="302" t="str">
        <f ca="1">IFERROR(IF(VLOOKUP(L11,Gießtage!$L$8:$L$98,1,0),1,0),"")</f>
        <v/>
      </c>
      <c r="P11" s="251">
        <f ca="1">IF(AND(OR(AND(L11&gt;=Ferien!$C$11,L11&lt;=Ferien!$D$11),AND(L11&gt;=Ferien!$C$12,L11&lt;=Ferien!$D$12),AND(L11&gt;=Ferien!$C$13,L11&lt;=Ferien!$D$13),AND(L11&gt;=Ferien!$C$14,L11&lt;=Ferien!$D$14),AND(L11&gt;=Ferien!$C$15,L11&lt;=Ferien!$D$15),AND(L11&gt;=Ferien!$C$16,L11&lt;=Ferien!$D$16),AND(L11&gt;=Ferien!$C$17,L11&lt;=Ferien!$D$17),AND(L11&gt;=Ferien!$C$18,L11&lt;=Ferien!$D$18),AND(L11&gt;=Ferien!$C$19,L11&lt;=Ferien!$D$19),AND(L11&gt;=Ferien!$C$20,L11&lt;=Ferien!$D$20),AND(L11&gt;=Ferien!$C$21,L11&lt;=Ferien!$D$21))),1,0)</f>
        <v>0</v>
      </c>
      <c r="Q11" s="250">
        <f t="shared" ca="1" si="5"/>
        <v>45390</v>
      </c>
      <c r="R11" s="573" t="str">
        <f t="shared" ca="1" si="6"/>
        <v/>
      </c>
      <c r="S11" s="317" t="str">
        <f ca="1">IFERROR(VLOOKUP(Q11,Mond!$B$3:$C$59,2,0),"")</f>
        <v>0</v>
      </c>
      <c r="T11" s="302" t="str">
        <f ca="1">IFERROR(IF(VLOOKUP(Q11,Gießtage!$L$8:$L$98,1,0),1,0),"")</f>
        <v/>
      </c>
      <c r="U11" s="251">
        <f ca="1">IF(AND(OR(AND(Q11&gt;=Ferien!$C$11,Q11&lt;=Ferien!$D$11),AND(Q11&gt;=Ferien!$C$12,Q11&lt;=Ferien!$D$12),AND(Q11&gt;=Ferien!$C$13,Q11&lt;=Ferien!$D$13),AND(Q11&gt;=Ferien!$C$14,Q11&lt;=Ferien!$D$14),AND(Q11&gt;=Ferien!$C$15,Q11&lt;=Ferien!$D$15),AND(Q11&gt;=Ferien!$C$16,Q11&lt;=Ferien!$D$16),AND(Q11&gt;=Ferien!$C$17,Q11&lt;=Ferien!$D$17),AND(Q11&gt;=Ferien!$C$18,Q11&lt;=Ferien!$D$18),AND(Q11&gt;=Ferien!$C$19,Q11&lt;=Ferien!$D$19),AND(Q11&gt;=Ferien!$C$20,Q11&lt;=Ferien!$D$20),AND(Q11&gt;=Ferien!$C$21,Q11&lt;=Ferien!$D$21))),1,0)</f>
        <v>0</v>
      </c>
      <c r="V11" s="250">
        <f t="shared" ca="1" si="7"/>
        <v>45420</v>
      </c>
      <c r="W11" s="573" t="str">
        <f t="shared" ca="1" si="8"/>
        <v/>
      </c>
      <c r="X11" s="317" t="str">
        <f ca="1">IFERROR(VLOOKUP(V11,Mond!$B$3:$C$59,2,0),"")</f>
        <v>0</v>
      </c>
      <c r="Y11" s="302" t="str">
        <f ca="1">IFERROR(IF(VLOOKUP(V11,Gießtage!$L$8:$L$98,1,0),1,0),"")</f>
        <v/>
      </c>
      <c r="Z11" s="251">
        <f ca="1">IF(AND(OR(AND(V11&gt;=Ferien!$C$11,V11&lt;=Ferien!$D$11),AND(V11&gt;=Ferien!$C$12,V11&lt;=Ferien!$D$12),AND(V11&gt;=Ferien!$C$13,V11&lt;=Ferien!$D$13),AND(V11&gt;=Ferien!$C$14,V11&lt;=Ferien!$D$14),AND(V11&gt;=Ferien!$C$15,V11&lt;=Ferien!$D$15),AND(V11&gt;=Ferien!$C$16,V11&lt;=Ferien!$D$16),AND(V11&gt;=Ferien!$C$17,V11&lt;=Ferien!$D$17),AND(V11&gt;=Ferien!$C$18,V11&lt;=Ferien!$D$18),AND(V11&gt;=Ferien!$C$19,V11&lt;=Ferien!$D$19),AND(V11&gt;=Ferien!$C$20,V11&lt;=Ferien!$D$20),AND(V11&gt;=Ferien!$C$21,V11&lt;=Ferien!$D$21))),1,0)</f>
        <v>0</v>
      </c>
      <c r="AA11" s="250">
        <f t="shared" ca="1" si="9"/>
        <v>45451</v>
      </c>
      <c r="AB11" s="573" t="str">
        <f t="shared" ca="1" si="10"/>
        <v>{</v>
      </c>
      <c r="AC11" s="317" t="str">
        <f ca="1">IFERROR(VLOOKUP(AA11,Mond!$B$3:$C$59,2,0),"")</f>
        <v/>
      </c>
      <c r="AD11" s="302">
        <f ca="1">IFERROR(IF(VLOOKUP(AA11,Gießtage!$L$8:$L$98,1,0),1,0),"")</f>
        <v>1</v>
      </c>
      <c r="AE11" s="251">
        <f ca="1">IF(AND(OR(AND(AA11&gt;=Ferien!$C$11,AA11&lt;=Ferien!$D$11),AND(AA11&gt;=Ferien!$C$12,AA11&lt;=Ferien!$D$12),AND(AA11&gt;=Ferien!$C$13,AA11&lt;=Ferien!$D$13),AND(AA11&gt;=Ferien!$C$14,AA11&lt;=Ferien!$D$14),AND(AA11&gt;=Ferien!$C$15,AA11&lt;=Ferien!$D$15),AND(AA11&gt;=Ferien!$C$16,AA11&lt;=Ferien!$D$16),AND(AA11&gt;=Ferien!$C$17,AA11&lt;=Ferien!$D$17),AND(AA11&gt;=Ferien!$C$18,AA11&lt;=Ferien!$D$18),AND(AA11&gt;=Ferien!$C$19,AA11&lt;=Ferien!$D$19),AND(AA11&gt;=Ferien!$C$20,AA11&lt;=Ferien!$D$20),AND(AA11&gt;=Ferien!$C$21,AA11&lt;=Ferien!$D$21))),1,0)</f>
        <v>0</v>
      </c>
      <c r="AF11" s="250">
        <f t="shared" ca="1" si="11"/>
        <v>45481</v>
      </c>
      <c r="AG11" s="573" t="str">
        <f t="shared" ca="1" si="12"/>
        <v/>
      </c>
      <c r="AH11" s="317" t="str">
        <f ca="1">IFERROR(VLOOKUP(AF11,Mond!$B$3:$C$59,2,0),"")</f>
        <v/>
      </c>
      <c r="AI11" s="302" t="str">
        <f ca="1">IFERROR(IF(VLOOKUP(AF11,Gießtage!$L$8:$L$98,1,0),1,0),"")</f>
        <v/>
      </c>
      <c r="AJ11" s="251">
        <f ca="1">IF(AND(OR(AND(AF11&gt;=Ferien!$C$11,AF11&lt;=Ferien!$D$11),AND(AF11&gt;=Ferien!$C$12,AF11&lt;=Ferien!$D$12),AND(AF11&gt;=Ferien!$C$13,AF11&lt;=Ferien!$D$13),AND(AF11&gt;=Ferien!$C$14,AF11&lt;=Ferien!$D$14),AND(AF11&gt;=Ferien!$C$15,AF11&lt;=Ferien!$D$15),AND(AF11&gt;=Ferien!$C$16,AF11&lt;=Ferien!$D$16),AND(AF11&gt;=Ferien!$C$17,AF11&lt;=Ferien!$D$17),AND(AF11&gt;=Ferien!$C$18,AF11&lt;=Ferien!$D$18),AND(AF11&gt;=Ferien!$C$19,AF11&lt;=Ferien!$D$19),AND(AF11&gt;=Ferien!$C$20,AF11&lt;=Ferien!$D$20),AND(AF11&gt;=Ferien!$C$21,AF11&lt;=Ferien!$D$21))),1,0)</f>
        <v>0</v>
      </c>
      <c r="AK11" s="250">
        <f t="shared" ca="1" si="13"/>
        <v>45512</v>
      </c>
      <c r="AL11" s="573" t="str">
        <f t="shared" ca="1" si="14"/>
        <v/>
      </c>
      <c r="AM11" s="317" t="str">
        <f ca="1">IFERROR(VLOOKUP(AK11,Mond!$B$3:$C$59,2,0),"")</f>
        <v/>
      </c>
      <c r="AN11" s="302" t="str">
        <f ca="1">IFERROR(IF(VLOOKUP(AK11,Gießtage!$L$8:$L$98,1,0),1,0),"")</f>
        <v/>
      </c>
      <c r="AO11" s="251">
        <f ca="1">IF(AND(OR(AND(AK11&gt;=Ferien!$C$11,AK11&lt;=Ferien!$D$11),AND(AK11&gt;=Ferien!$C$12,AK11&lt;=Ferien!$D$12),AND(AK11&gt;=Ferien!$C$13,AK11&lt;=Ferien!$D$13),AND(AK11&gt;=Ferien!$C$14,AK11&lt;=Ferien!$D$14),AND(AK11&gt;=Ferien!$C$15,AK11&lt;=Ferien!$D$15),AND(AK11&gt;=Ferien!$C$16,AK11&lt;=Ferien!$D$16),AND(AK11&gt;=Ferien!$C$17,AK11&lt;=Ferien!$D$17),AND(AK11&gt;=Ferien!$C$18,AK11&lt;=Ferien!$D$18),AND(AK11&gt;=Ferien!$C$19,AK11&lt;=Ferien!$D$19),AND(AK11&gt;=Ferien!$C$20,AK11&lt;=Ferien!$D$20),AND(AK11&gt;=Ferien!$C$21,AK11&lt;=Ferien!$D$21))),1,0)</f>
        <v>1</v>
      </c>
      <c r="AP11" s="250">
        <f t="shared" ca="1" si="15"/>
        <v>45543</v>
      </c>
      <c r="AQ11" s="573" t="str">
        <f t="shared" ca="1" si="16"/>
        <v>{</v>
      </c>
      <c r="AR11" s="317" t="str">
        <f ca="1">IFERROR(VLOOKUP(AP11,Mond!$B$3:$C$59,2,0),"")</f>
        <v/>
      </c>
      <c r="AS11" s="302">
        <f ca="1">IFERROR(IF(VLOOKUP(AP11,Gießtage!$L$8:$L$98,1,0),1,0),"")</f>
        <v>1</v>
      </c>
      <c r="AT11" s="251">
        <f ca="1">IF(AND(OR(AND(AP11&gt;=Ferien!$C$11,AP11&lt;=Ferien!$D$11),AND(AP11&gt;=Ferien!$C$12,AP11&lt;=Ferien!$D$12),AND(AP11&gt;=Ferien!$C$13,AP11&lt;=Ferien!$D$13),AND(AP11&gt;=Ferien!$C$14,AP11&lt;=Ferien!$D$14),AND(AP11&gt;=Ferien!$C$15,AP11&lt;=Ferien!$D$15),AND(AP11&gt;=Ferien!$C$16,AP11&lt;=Ferien!$D$16),AND(AP11&gt;=Ferien!$C$17,AP11&lt;=Ferien!$D$17),AND(AP11&gt;=Ferien!$C$18,AP11&lt;=Ferien!$D$18),AND(AP11&gt;=Ferien!$C$19,AP11&lt;=Ferien!$D$19),AND(AP11&gt;=Ferien!$C$20,AP11&lt;=Ferien!$D$20),AND(AP11&gt;=Ferien!$C$21,AP11&lt;=Ferien!$D$21))),1,0)</f>
        <v>0</v>
      </c>
      <c r="AU11" s="250">
        <f t="shared" ca="1" si="17"/>
        <v>45573</v>
      </c>
      <c r="AV11" s="573" t="str">
        <f t="shared" ca="1" si="18"/>
        <v/>
      </c>
      <c r="AW11" s="317" t="str">
        <f ca="1">IFERROR(VLOOKUP(AU11,Mond!$B$3:$C$59,2,0),"")</f>
        <v/>
      </c>
      <c r="AX11" s="302" t="str">
        <f ca="1">IFERROR(IF(VLOOKUP(AU11,Gießtage!$L$8:$L$98,1,0),1,0),"")</f>
        <v/>
      </c>
      <c r="AY11" s="251">
        <f ca="1">IF(AND(OR(AND(AU11&gt;=Ferien!$C$11,AU11&lt;=Ferien!$D$11),AND(AU11&gt;=Ferien!$C$12,AU11&lt;=Ferien!$D$12),AND(AU11&gt;=Ferien!$C$13,AU11&lt;=Ferien!$D$13),AND(AU11&gt;=Ferien!$C$14,AU11&lt;=Ferien!$D$14),AND(AU11&gt;=Ferien!$C$15,AU11&lt;=Ferien!$D$15),AND(AU11&gt;=Ferien!$C$16,AU11&lt;=Ferien!$D$16),AND(AU11&gt;=Ferien!$C$17,AU11&lt;=Ferien!$D$17),AND(AU11&gt;=Ferien!$C$18,AU11&lt;=Ferien!$D$18),AND(AU11&gt;=Ferien!$C$19,AU11&lt;=Ferien!$D$19),AND(AU11&gt;=Ferien!$C$20,AU11&lt;=Ferien!$D$20),AND(AU11&gt;=Ferien!$C$21,AU11&lt;=Ferien!$D$21))),1,0)</f>
        <v>0</v>
      </c>
      <c r="AZ11" s="250">
        <f t="shared" ca="1" si="19"/>
        <v>45604</v>
      </c>
      <c r="BA11" s="573" t="str">
        <f t="shared" ca="1" si="20"/>
        <v/>
      </c>
      <c r="BB11" s="317" t="str">
        <f ca="1">IFERROR(VLOOKUP(AZ11,Mond!$B$3:$C$59,2,0),"")</f>
        <v/>
      </c>
      <c r="BC11" s="302" t="str">
        <f ca="1">IFERROR(IF(VLOOKUP(AZ11,Gießtage!$L$8:$L$98,1,0),1,0),"")</f>
        <v/>
      </c>
      <c r="BD11" s="251">
        <f ca="1">IF(AND(OR(AND(AZ11&gt;=Ferien!$C$11,AZ11&lt;=Ferien!$D$11),AND(AZ11&gt;=Ferien!$C$12,AZ11&lt;=Ferien!$D$12),AND(AZ11&gt;=Ferien!$C$13,AZ11&lt;=Ferien!$D$13),AND(AZ11&gt;=Ferien!$C$14,AZ11&lt;=Ferien!$D$14),AND(AZ11&gt;=Ferien!$C$15,AZ11&lt;=Ferien!$D$15),AND(AZ11&gt;=Ferien!$C$16,AZ11&lt;=Ferien!$D$16),AND(AZ11&gt;=Ferien!$C$17,AZ11&lt;=Ferien!$D$17),AND(AZ11&gt;=Ferien!$C$18,AZ11&lt;=Ferien!$D$18),AND(AZ11&gt;=Ferien!$C$19,AZ11&lt;=Ferien!$D$19),AND(AZ11&gt;=Ferien!$C$20,AZ11&lt;=Ferien!$D$20),AND(AZ11&gt;=Ferien!$C$21,AZ11&lt;=Ferien!$D$21))),1,0)</f>
        <v>0</v>
      </c>
      <c r="BE11" s="250">
        <f t="shared" ca="1" si="21"/>
        <v>45634</v>
      </c>
      <c r="BF11" s="573" t="str">
        <f t="shared" ca="1" si="22"/>
        <v>{</v>
      </c>
      <c r="BG11" s="317" t="str">
        <f ca="1">IFERROR(VLOOKUP(BE11,Mond!$B$3:$C$59,2,0),"")</f>
        <v>G</v>
      </c>
      <c r="BH11" s="302">
        <f ca="1">IFERROR(IF(VLOOKUP(BE11,Gießtage!$L$8:$L$98,1,0),1,0),"")</f>
        <v>1</v>
      </c>
      <c r="BI11" s="252">
        <f ca="1">IF(AND(OR(AND(BE11&gt;=Ferien!$C$11,BE11&lt;=Ferien!$D$11),AND(BE11&gt;=Ferien!$C$12,BE11&lt;=Ferien!$D$12),AND(BE11&gt;=Ferien!$C$13,BE11&lt;=Ferien!$D$13),AND(BE11&gt;=Ferien!$C$14,BE11&lt;=Ferien!$D$14),AND(BE11&gt;=Ferien!$C$15,BE11&lt;=Ferien!$D$15),AND(BE11&gt;=Ferien!$C$16,BE11&lt;=Ferien!$D$16),AND(BE11&gt;=Ferien!$C$17,BE11&lt;=Ferien!$D$17),AND(BE11&gt;=Ferien!$C$18,BE11&lt;=Ferien!$D$18),AND(BE11&gt;=Ferien!$C$19,BE11&lt;=Ferien!$D$19),AND(BE11&gt;=Ferien!$C$20,BE11&lt;=Ferien!$D$20),AND(BE11&gt;=Ferien!$C$21,BE11&lt;=Ferien!$D$21))),1,0)</f>
        <v>0</v>
      </c>
      <c r="BJ11" s="811" t="str">
        <f>IF(BL11="","",Feiertage!C4)</f>
        <v/>
      </c>
      <c r="BK11" s="812"/>
      <c r="BL11" s="338" t="str">
        <f>Feiertage!B4</f>
        <v/>
      </c>
      <c r="BM11" s="304" t="str">
        <f t="shared" si="26"/>
        <v/>
      </c>
      <c r="BN11" s="314" t="str">
        <f t="shared" si="27"/>
        <v/>
      </c>
      <c r="BO11" s="315" t="str">
        <f t="shared" si="28"/>
        <v/>
      </c>
      <c r="BP11" s="253" t="str">
        <f t="shared" si="29"/>
        <v/>
      </c>
      <c r="BQ11" s="236">
        <v>1</v>
      </c>
      <c r="BR11" s="235" t="e">
        <f t="shared" si="24"/>
        <v>#VALUE!</v>
      </c>
      <c r="BS11" s="235" t="e">
        <f t="shared" si="25"/>
        <v>#VALUE!</v>
      </c>
      <c r="BT11" s="238"/>
      <c r="BU11" s="238"/>
      <c r="BV11" s="238"/>
    </row>
    <row r="12" spans="2:77" ht="19.5" customHeight="1" thickBot="1">
      <c r="B12" s="250">
        <f t="shared" ca="1" si="0"/>
        <v>45300</v>
      </c>
      <c r="C12" s="573" t="str">
        <f t="shared" ca="1" si="1"/>
        <v/>
      </c>
      <c r="D12" s="317" t="str">
        <f ca="1">IFERROR(VLOOKUP(B12,Mond!$B$3:$C$59,2,0),"")</f>
        <v/>
      </c>
      <c r="E12" s="302" t="str">
        <f ca="1">IFERROR(IF(VLOOKUP(B12,Gießtage!$L$8:$L$98,1,0),1,0),"")</f>
        <v/>
      </c>
      <c r="F12" s="251">
        <f ca="1">IF(AND(OR(AND(B12&gt;=Ferien!$C$11,B12&lt;=Ferien!$D$11),AND(B12&gt;=Ferien!$C$12,B12&lt;=Ferien!$D$12),AND(B12&gt;=Ferien!$C$13,B12&lt;=Ferien!$D$13),AND(B12&gt;=Ferien!$C$14,B12&lt;=Ferien!$D$14),AND(B12&gt;=Ferien!$C$15,B12&lt;=Ferien!$D$15),AND(B12&gt;=Ferien!$C$16,B12&lt;=Ferien!$D$16),AND(B12&gt;=Ferien!$C$17,B12&lt;=Ferien!$D$17),AND(B12&gt;=Ferien!$C$18,B12&lt;=Ferien!$D$18),AND(B12&gt;=Ferien!$C$19,B12&lt;=Ferien!$D$19),AND(B12&gt;=Ferien!$C$20,B12&lt;=Ferien!$D$20),AND(B12&gt;=Ferien!$C$21,B12&lt;=Ferien!$D$21))),1,0)</f>
        <v>0</v>
      </c>
      <c r="G12" s="250">
        <f t="shared" ca="1" si="2"/>
        <v>45331</v>
      </c>
      <c r="H12" s="573" t="s">
        <v>258</v>
      </c>
      <c r="I12" s="317" t="str">
        <f ca="1">IFERROR(VLOOKUP(G12,Mond!$B$3:$C$59,2,0),"")</f>
        <v/>
      </c>
      <c r="J12" s="302" t="str">
        <f ca="1">IFERROR(IF(VLOOKUP(G12,Gießtage!$L$8:$L$98,1,0),1,0),"")</f>
        <v/>
      </c>
      <c r="K12" s="251">
        <f ca="1">IF(AND(OR(AND(G12&gt;=Ferien!$C$11,G12&lt;=Ferien!$D$11),AND(G12&gt;=Ferien!$C$12,G12&lt;=Ferien!$D$12),AND(G12&gt;=Ferien!$C$13,G12&lt;=Ferien!$D$13),AND(G12&gt;=Ferien!$C$14,G12&lt;=Ferien!$D$14),AND(G12&gt;=Ferien!$C$15,G12&lt;=Ferien!$D$15),AND(G12&gt;=Ferien!$C$16,G12&lt;=Ferien!$D$16),AND(G12&gt;=Ferien!$C$17,G12&lt;=Ferien!$D$17),AND(G12&gt;=Ferien!$C$18,G12&lt;=Ferien!$D$18),AND(G12&gt;=Ferien!$C$19,G12&lt;=Ferien!$D$19),AND(G12&gt;=Ferien!$C$20,G12&lt;=Ferien!$D$20),AND(G12&gt;=Ferien!$C$21,G12&lt;=Ferien!$D$21))),1,0)</f>
        <v>0</v>
      </c>
      <c r="L12" s="250">
        <f t="shared" ca="1" si="3"/>
        <v>45360</v>
      </c>
      <c r="M12" s="573" t="str">
        <f t="shared" ca="1" si="4"/>
        <v>{</v>
      </c>
      <c r="N12" s="317" t="str">
        <f ca="1">IFERROR(VLOOKUP(L12,Mond!$B$3:$C$59,2,0),"")</f>
        <v/>
      </c>
      <c r="O12" s="302">
        <f ca="1">IFERROR(IF(VLOOKUP(L12,Gießtage!$L$8:$L$98,1,0),1,0),"")</f>
        <v>1</v>
      </c>
      <c r="P12" s="251">
        <f ca="1">IF(AND(OR(AND(L12&gt;=Ferien!$C$11,L12&lt;=Ferien!$D$11),AND(L12&gt;=Ferien!$C$12,L12&lt;=Ferien!$D$12),AND(L12&gt;=Ferien!$C$13,L12&lt;=Ferien!$D$13),AND(L12&gt;=Ferien!$C$14,L12&lt;=Ferien!$D$14),AND(L12&gt;=Ferien!$C$15,L12&lt;=Ferien!$D$15),AND(L12&gt;=Ferien!$C$16,L12&lt;=Ferien!$D$16),AND(L12&gt;=Ferien!$C$17,L12&lt;=Ferien!$D$17),AND(L12&gt;=Ferien!$C$18,L12&lt;=Ferien!$D$18),AND(L12&gt;=Ferien!$C$19,L12&lt;=Ferien!$D$19),AND(L12&gt;=Ferien!$C$20,L12&lt;=Ferien!$D$20),AND(L12&gt;=Ferien!$C$21,L12&lt;=Ferien!$D$21))),1,0)</f>
        <v>0</v>
      </c>
      <c r="Q12" s="250">
        <f t="shared" ca="1" si="5"/>
        <v>45391</v>
      </c>
      <c r="R12" s="573" t="str">
        <f t="shared" ca="1" si="6"/>
        <v/>
      </c>
      <c r="S12" s="317" t="str">
        <f ca="1">IFERROR(VLOOKUP(Q12,Mond!$B$3:$C$59,2,0),"")</f>
        <v/>
      </c>
      <c r="T12" s="302" t="str">
        <f ca="1">IFERROR(IF(VLOOKUP(Q12,Gießtage!$L$8:$L$98,1,0),1,0),"")</f>
        <v/>
      </c>
      <c r="U12" s="251">
        <f ca="1">IF(AND(OR(AND(Q12&gt;=Ferien!$C$11,Q12&lt;=Ferien!$D$11),AND(Q12&gt;=Ferien!$C$12,Q12&lt;=Ferien!$D$12),AND(Q12&gt;=Ferien!$C$13,Q12&lt;=Ferien!$D$13),AND(Q12&gt;=Ferien!$C$14,Q12&lt;=Ferien!$D$14),AND(Q12&gt;=Ferien!$C$15,Q12&lt;=Ferien!$D$15),AND(Q12&gt;=Ferien!$C$16,Q12&lt;=Ferien!$D$16),AND(Q12&gt;=Ferien!$C$17,Q12&lt;=Ferien!$D$17),AND(Q12&gt;=Ferien!$C$18,Q12&lt;=Ferien!$D$18),AND(Q12&gt;=Ferien!$C$19,Q12&lt;=Ferien!$D$19),AND(Q12&gt;=Ferien!$C$20,Q12&lt;=Ferien!$D$20),AND(Q12&gt;=Ferien!$C$21,Q12&lt;=Ferien!$D$21))),1,0)</f>
        <v>0</v>
      </c>
      <c r="V12" s="250">
        <f t="shared" ca="1" si="7"/>
        <v>45421</v>
      </c>
      <c r="W12" s="573" t="str">
        <f t="shared" ca="1" si="8"/>
        <v/>
      </c>
      <c r="X12" s="317" t="str">
        <f ca="1">IFERROR(VLOOKUP(V12,Mond!$B$3:$C$59,2,0),"")</f>
        <v/>
      </c>
      <c r="Y12" s="302" t="str">
        <f ca="1">IFERROR(IF(VLOOKUP(V12,Gießtage!$L$8:$L$98,1,0),1,0),"")</f>
        <v/>
      </c>
      <c r="Z12" s="251">
        <f ca="1">IF(AND(OR(AND(V12&gt;=Ferien!$C$11,V12&lt;=Ferien!$D$11),AND(V12&gt;=Ferien!$C$12,V12&lt;=Ferien!$D$12),AND(V12&gt;=Ferien!$C$13,V12&lt;=Ferien!$D$13),AND(V12&gt;=Ferien!$C$14,V12&lt;=Ferien!$D$14),AND(V12&gt;=Ferien!$C$15,V12&lt;=Ferien!$D$15),AND(V12&gt;=Ferien!$C$16,V12&lt;=Ferien!$D$16),AND(V12&gt;=Ferien!$C$17,V12&lt;=Ferien!$D$17),AND(V12&gt;=Ferien!$C$18,V12&lt;=Ferien!$D$18),AND(V12&gt;=Ferien!$C$19,V12&lt;=Ferien!$D$19),AND(V12&gt;=Ferien!$C$20,V12&lt;=Ferien!$D$20),AND(V12&gt;=Ferien!$C$21,V12&lt;=Ferien!$D$21))),1,0)</f>
        <v>0</v>
      </c>
      <c r="AA12" s="250">
        <f t="shared" ca="1" si="9"/>
        <v>45452</v>
      </c>
      <c r="AB12" s="573" t="str">
        <f t="shared" ca="1" si="10"/>
        <v>{</v>
      </c>
      <c r="AC12" s="317" t="str">
        <f ca="1">IFERROR(VLOOKUP(AA12,Mond!$B$3:$C$59,2,0),"")</f>
        <v/>
      </c>
      <c r="AD12" s="302">
        <f ca="1">IFERROR(IF(VLOOKUP(AA12,Gießtage!$L$8:$L$98,1,0),1,0),"")</f>
        <v>1</v>
      </c>
      <c r="AE12" s="251">
        <f ca="1">IF(AND(OR(AND(AA12&gt;=Ferien!$C$11,AA12&lt;=Ferien!$D$11),AND(AA12&gt;=Ferien!$C$12,AA12&lt;=Ferien!$D$12),AND(AA12&gt;=Ferien!$C$13,AA12&lt;=Ferien!$D$13),AND(AA12&gt;=Ferien!$C$14,AA12&lt;=Ferien!$D$14),AND(AA12&gt;=Ferien!$C$15,AA12&lt;=Ferien!$D$15),AND(AA12&gt;=Ferien!$C$16,AA12&lt;=Ferien!$D$16),AND(AA12&gt;=Ferien!$C$17,AA12&lt;=Ferien!$D$17),AND(AA12&gt;=Ferien!$C$18,AA12&lt;=Ferien!$D$18),AND(AA12&gt;=Ferien!$C$19,AA12&lt;=Ferien!$D$19),AND(AA12&gt;=Ferien!$C$20,AA12&lt;=Ferien!$D$20),AND(AA12&gt;=Ferien!$C$21,AA12&lt;=Ferien!$D$21))),1,0)</f>
        <v>0</v>
      </c>
      <c r="AF12" s="250">
        <f t="shared" ca="1" si="11"/>
        <v>45482</v>
      </c>
      <c r="AG12" s="573" t="str">
        <f t="shared" ca="1" si="12"/>
        <v/>
      </c>
      <c r="AH12" s="317" t="str">
        <f ca="1">IFERROR(VLOOKUP(AF12,Mond!$B$3:$C$59,2,0),"")</f>
        <v/>
      </c>
      <c r="AI12" s="302" t="str">
        <f ca="1">IFERROR(IF(VLOOKUP(AF12,Gießtage!$L$8:$L$98,1,0),1,0),"")</f>
        <v/>
      </c>
      <c r="AJ12" s="251">
        <f ca="1">IF(AND(OR(AND(AF12&gt;=Ferien!$C$11,AF12&lt;=Ferien!$D$11),AND(AF12&gt;=Ferien!$C$12,AF12&lt;=Ferien!$D$12),AND(AF12&gt;=Ferien!$C$13,AF12&lt;=Ferien!$D$13),AND(AF12&gt;=Ferien!$C$14,AF12&lt;=Ferien!$D$14),AND(AF12&gt;=Ferien!$C$15,AF12&lt;=Ferien!$D$15),AND(AF12&gt;=Ferien!$C$16,AF12&lt;=Ferien!$D$16),AND(AF12&gt;=Ferien!$C$17,AF12&lt;=Ferien!$D$17),AND(AF12&gt;=Ferien!$C$18,AF12&lt;=Ferien!$D$18),AND(AF12&gt;=Ferien!$C$19,AF12&lt;=Ferien!$D$19),AND(AF12&gt;=Ferien!$C$20,AF12&lt;=Ferien!$D$20),AND(AF12&gt;=Ferien!$C$21,AF12&lt;=Ferien!$D$21))),1,0)</f>
        <v>0</v>
      </c>
      <c r="AK12" s="250">
        <f t="shared" ca="1" si="13"/>
        <v>45513</v>
      </c>
      <c r="AL12" s="573" t="str">
        <f t="shared" ca="1" si="14"/>
        <v/>
      </c>
      <c r="AM12" s="317" t="str">
        <f ca="1">IFERROR(VLOOKUP(AK12,Mond!$B$3:$C$59,2,0),"")</f>
        <v/>
      </c>
      <c r="AN12" s="302" t="str">
        <f ca="1">IFERROR(IF(VLOOKUP(AK12,Gießtage!$L$8:$L$98,1,0),1,0),"")</f>
        <v/>
      </c>
      <c r="AO12" s="251">
        <f ca="1">IF(AND(OR(AND(AK12&gt;=Ferien!$C$11,AK12&lt;=Ferien!$D$11),AND(AK12&gt;=Ferien!$C$12,AK12&lt;=Ferien!$D$12),AND(AK12&gt;=Ferien!$C$13,AK12&lt;=Ferien!$D$13),AND(AK12&gt;=Ferien!$C$14,AK12&lt;=Ferien!$D$14),AND(AK12&gt;=Ferien!$C$15,AK12&lt;=Ferien!$D$15),AND(AK12&gt;=Ferien!$C$16,AK12&lt;=Ferien!$D$16),AND(AK12&gt;=Ferien!$C$17,AK12&lt;=Ferien!$D$17),AND(AK12&gt;=Ferien!$C$18,AK12&lt;=Ferien!$D$18),AND(AK12&gt;=Ferien!$C$19,AK12&lt;=Ferien!$D$19),AND(AK12&gt;=Ferien!$C$20,AK12&lt;=Ferien!$D$20),AND(AK12&gt;=Ferien!$C$21,AK12&lt;=Ferien!$D$21))),1,0)</f>
        <v>1</v>
      </c>
      <c r="AP12" s="250">
        <f t="shared" ca="1" si="15"/>
        <v>45544</v>
      </c>
      <c r="AQ12" s="573" t="str">
        <f t="shared" ca="1" si="16"/>
        <v>{</v>
      </c>
      <c r="AR12" s="317" t="str">
        <f ca="1">IFERROR(VLOOKUP(AP12,Mond!$B$3:$C$59,2,0),"")</f>
        <v/>
      </c>
      <c r="AS12" s="302">
        <f ca="1">IFERROR(IF(VLOOKUP(AP12,Gießtage!$L$8:$L$98,1,0),1,0),"")</f>
        <v>1</v>
      </c>
      <c r="AT12" s="251">
        <f ca="1">IF(AND(OR(AND(AP12&gt;=Ferien!$C$11,AP12&lt;=Ferien!$D$11),AND(AP12&gt;=Ferien!$C$12,AP12&lt;=Ferien!$D$12),AND(AP12&gt;=Ferien!$C$13,AP12&lt;=Ferien!$D$13),AND(AP12&gt;=Ferien!$C$14,AP12&lt;=Ferien!$D$14),AND(AP12&gt;=Ferien!$C$15,AP12&lt;=Ferien!$D$15),AND(AP12&gt;=Ferien!$C$16,AP12&lt;=Ferien!$D$16),AND(AP12&gt;=Ferien!$C$17,AP12&lt;=Ferien!$D$17),AND(AP12&gt;=Ferien!$C$18,AP12&lt;=Ferien!$D$18),AND(AP12&gt;=Ferien!$C$19,AP12&lt;=Ferien!$D$19),AND(AP12&gt;=Ferien!$C$20,AP12&lt;=Ferien!$D$20),AND(AP12&gt;=Ferien!$C$21,AP12&lt;=Ferien!$D$21))),1,0)</f>
        <v>0</v>
      </c>
      <c r="AU12" s="250">
        <f t="shared" ca="1" si="17"/>
        <v>45574</v>
      </c>
      <c r="AV12" s="573" t="str">
        <f t="shared" ca="1" si="18"/>
        <v/>
      </c>
      <c r="AW12" s="317" t="str">
        <f ca="1">IFERROR(VLOOKUP(AU12,Mond!$B$3:$C$59,2,0),"")</f>
        <v/>
      </c>
      <c r="AX12" s="302" t="str">
        <f ca="1">IFERROR(IF(VLOOKUP(AU12,Gießtage!$L$8:$L$98,1,0),1,0),"")</f>
        <v/>
      </c>
      <c r="AY12" s="251">
        <f ca="1">IF(AND(OR(AND(AU12&gt;=Ferien!$C$11,AU12&lt;=Ferien!$D$11),AND(AU12&gt;=Ferien!$C$12,AU12&lt;=Ferien!$D$12),AND(AU12&gt;=Ferien!$C$13,AU12&lt;=Ferien!$D$13),AND(AU12&gt;=Ferien!$C$14,AU12&lt;=Ferien!$D$14),AND(AU12&gt;=Ferien!$C$15,AU12&lt;=Ferien!$D$15),AND(AU12&gt;=Ferien!$C$16,AU12&lt;=Ferien!$D$16),AND(AU12&gt;=Ferien!$C$17,AU12&lt;=Ferien!$D$17),AND(AU12&gt;=Ferien!$C$18,AU12&lt;=Ferien!$D$18),AND(AU12&gt;=Ferien!$C$19,AU12&lt;=Ferien!$D$19),AND(AU12&gt;=Ferien!$C$20,AU12&lt;=Ferien!$D$20),AND(AU12&gt;=Ferien!$C$21,AU12&lt;=Ferien!$D$21))),1,0)</f>
        <v>0</v>
      </c>
      <c r="AZ12" s="250">
        <f t="shared" ca="1" si="19"/>
        <v>45605</v>
      </c>
      <c r="BA12" s="573" t="str">
        <f t="shared" ca="1" si="20"/>
        <v/>
      </c>
      <c r="BB12" s="317" t="str">
        <f ca="1">IFERROR(VLOOKUP(AZ12,Mond!$B$3:$C$59,2,0),"")</f>
        <v>G</v>
      </c>
      <c r="BC12" s="302" t="str">
        <f ca="1">IFERROR(IF(VLOOKUP(AZ12,Gießtage!$L$8:$L$98,1,0),1,0),"")</f>
        <v/>
      </c>
      <c r="BD12" s="251">
        <f ca="1">IF(AND(OR(AND(AZ12&gt;=Ferien!$C$11,AZ12&lt;=Ferien!$D$11),AND(AZ12&gt;=Ferien!$C$12,AZ12&lt;=Ferien!$D$12),AND(AZ12&gt;=Ferien!$C$13,AZ12&lt;=Ferien!$D$13),AND(AZ12&gt;=Ferien!$C$14,AZ12&lt;=Ferien!$D$14),AND(AZ12&gt;=Ferien!$C$15,AZ12&lt;=Ferien!$D$15),AND(AZ12&gt;=Ferien!$C$16,AZ12&lt;=Ferien!$D$16),AND(AZ12&gt;=Ferien!$C$17,AZ12&lt;=Ferien!$D$17),AND(AZ12&gt;=Ferien!$C$18,AZ12&lt;=Ferien!$D$18),AND(AZ12&gt;=Ferien!$C$19,AZ12&lt;=Ferien!$D$19),AND(AZ12&gt;=Ferien!$C$20,AZ12&lt;=Ferien!$D$20),AND(AZ12&gt;=Ferien!$C$21,AZ12&lt;=Ferien!$D$21))),1,0)</f>
        <v>0</v>
      </c>
      <c r="BE12" s="250">
        <f t="shared" ca="1" si="21"/>
        <v>45635</v>
      </c>
      <c r="BF12" s="573" t="str">
        <f t="shared" ca="1" si="22"/>
        <v>{</v>
      </c>
      <c r="BG12" s="317" t="str">
        <f ca="1">IFERROR(VLOOKUP(BE12,Mond!$B$3:$C$59,2,0),"")</f>
        <v/>
      </c>
      <c r="BH12" s="302">
        <f ca="1">IFERROR(IF(VLOOKUP(BE12,Gießtage!$L$8:$L$98,1,0),1,0),"")</f>
        <v>1</v>
      </c>
      <c r="BI12" s="252">
        <f ca="1">IF(AND(OR(AND(BE12&gt;=Ferien!$C$11,BE12&lt;=Ferien!$D$11),AND(BE12&gt;=Ferien!$C$12,BE12&lt;=Ferien!$D$12),AND(BE12&gt;=Ferien!$C$13,BE12&lt;=Ferien!$D$13),AND(BE12&gt;=Ferien!$C$14,BE12&lt;=Ferien!$D$14),AND(BE12&gt;=Ferien!$C$15,BE12&lt;=Ferien!$D$15),AND(BE12&gt;=Ferien!$C$16,BE12&lt;=Ferien!$D$16),AND(BE12&gt;=Ferien!$C$17,BE12&lt;=Ferien!$D$17),AND(BE12&gt;=Ferien!$C$18,BE12&lt;=Ferien!$D$18),AND(BE12&gt;=Ferien!$C$19,BE12&lt;=Ferien!$D$19),AND(BE12&gt;=Ferien!$C$20,BE12&lt;=Ferien!$D$20),AND(BE12&gt;=Ferien!$C$21,BE12&lt;=Ferien!$D$21))),1,0)</f>
        <v>0</v>
      </c>
      <c r="BJ12" s="811" t="str">
        <f ca="1">IF(BL12="","",Feiertage!C5)</f>
        <v>Karfreitag</v>
      </c>
      <c r="BK12" s="812"/>
      <c r="BL12" s="338">
        <f ca="1">Feiertage!B5</f>
        <v>45380</v>
      </c>
      <c r="BM12" s="304">
        <f t="shared" ca="1" si="26"/>
        <v>45380</v>
      </c>
      <c r="BN12" s="314" t="str">
        <f t="shared" ca="1" si="27"/>
        <v/>
      </c>
      <c r="BO12" s="315" t="str">
        <f t="shared" ca="1" si="28"/>
        <v/>
      </c>
      <c r="BP12" s="253">
        <f t="shared" ca="1" si="29"/>
        <v>5</v>
      </c>
      <c r="BQ12" s="236">
        <v>0</v>
      </c>
      <c r="BR12" s="235">
        <f t="shared" ca="1" si="24"/>
        <v>0</v>
      </c>
      <c r="BS12" s="235">
        <f t="shared" ca="1" si="25"/>
        <v>0</v>
      </c>
      <c r="BT12" s="238"/>
      <c r="BU12" s="238"/>
      <c r="BV12" s="238"/>
    </row>
    <row r="13" spans="2:77" ht="19.5" customHeight="1" thickBot="1">
      <c r="B13" s="250">
        <f t="shared" ca="1" si="0"/>
        <v>45301</v>
      </c>
      <c r="C13" s="573" t="str">
        <f t="shared" ca="1" si="1"/>
        <v/>
      </c>
      <c r="D13" s="317" t="str">
        <f ca="1">IFERROR(VLOOKUP(B13,Mond!$B$3:$C$59,2,0),"")</f>
        <v/>
      </c>
      <c r="E13" s="302" t="str">
        <f ca="1">IFERROR(IF(VLOOKUP(B13,Gießtage!$L$8:$L$98,1,0),1,0),"")</f>
        <v/>
      </c>
      <c r="F13" s="251">
        <f ca="1">IF(AND(OR(AND(B13&gt;=Ferien!$C$11,B13&lt;=Ferien!$D$11),AND(B13&gt;=Ferien!$C$12,B13&lt;=Ferien!$D$12),AND(B13&gt;=Ferien!$C$13,B13&lt;=Ferien!$D$13),AND(B13&gt;=Ferien!$C$14,B13&lt;=Ferien!$D$14),AND(B13&gt;=Ferien!$C$15,B13&lt;=Ferien!$D$15),AND(B13&gt;=Ferien!$C$16,B13&lt;=Ferien!$D$16),AND(B13&gt;=Ferien!$C$17,B13&lt;=Ferien!$D$17),AND(B13&gt;=Ferien!$C$18,B13&lt;=Ferien!$D$18),AND(B13&gt;=Ferien!$C$19,B13&lt;=Ferien!$D$19),AND(B13&gt;=Ferien!$C$20,B13&lt;=Ferien!$D$20),AND(B13&gt;=Ferien!$C$21,B13&lt;=Ferien!$D$21))),1,0)</f>
        <v>0</v>
      </c>
      <c r="G13" s="250">
        <f t="shared" ca="1" si="2"/>
        <v>45332</v>
      </c>
      <c r="H13" s="573" t="s">
        <v>258</v>
      </c>
      <c r="I13" s="317" t="str">
        <f ca="1">IFERROR(VLOOKUP(G13,Mond!$B$3:$C$59,2,0),"")</f>
        <v>0</v>
      </c>
      <c r="J13" s="302" t="str">
        <f ca="1">IFERROR(IF(VLOOKUP(G13,Gießtage!$L$8:$L$98,1,0),1,0),"")</f>
        <v/>
      </c>
      <c r="K13" s="251">
        <f ca="1">IF(AND(OR(AND(G13&gt;=Ferien!$C$11,G13&lt;=Ferien!$D$11),AND(G13&gt;=Ferien!$C$12,G13&lt;=Ferien!$D$12),AND(G13&gt;=Ferien!$C$13,G13&lt;=Ferien!$D$13),AND(G13&gt;=Ferien!$C$14,G13&lt;=Ferien!$D$14),AND(G13&gt;=Ferien!$C$15,G13&lt;=Ferien!$D$15),AND(G13&gt;=Ferien!$C$16,G13&lt;=Ferien!$D$16),AND(G13&gt;=Ferien!$C$17,G13&lt;=Ferien!$D$17),AND(G13&gt;=Ferien!$C$18,G13&lt;=Ferien!$D$18),AND(G13&gt;=Ferien!$C$19,G13&lt;=Ferien!$D$19),AND(G13&gt;=Ferien!$C$20,G13&lt;=Ferien!$D$20),AND(G13&gt;=Ferien!$C$21,G13&lt;=Ferien!$D$21))),1,0)</f>
        <v>0</v>
      </c>
      <c r="L13" s="250">
        <f t="shared" ca="1" si="3"/>
        <v>45361</v>
      </c>
      <c r="M13" s="573" t="str">
        <f t="shared" ca="1" si="4"/>
        <v>{</v>
      </c>
      <c r="N13" s="317" t="str">
        <f ca="1">IFERROR(VLOOKUP(L13,Mond!$B$3:$C$59,2,0),"")</f>
        <v>0</v>
      </c>
      <c r="O13" s="302">
        <f ca="1">IFERROR(IF(VLOOKUP(L13,Gießtage!$L$8:$L$98,1,0),1,0),"")</f>
        <v>1</v>
      </c>
      <c r="P13" s="251">
        <f ca="1">IF(AND(OR(AND(L13&gt;=Ferien!$C$11,L13&lt;=Ferien!$D$11),AND(L13&gt;=Ferien!$C$12,L13&lt;=Ferien!$D$12),AND(L13&gt;=Ferien!$C$13,L13&lt;=Ferien!$D$13),AND(L13&gt;=Ferien!$C$14,L13&lt;=Ferien!$D$14),AND(L13&gt;=Ferien!$C$15,L13&lt;=Ferien!$D$15),AND(L13&gt;=Ferien!$C$16,L13&lt;=Ferien!$D$16),AND(L13&gt;=Ferien!$C$17,L13&lt;=Ferien!$D$17),AND(L13&gt;=Ferien!$C$18,L13&lt;=Ferien!$D$18),AND(L13&gt;=Ferien!$C$19,L13&lt;=Ferien!$D$19),AND(L13&gt;=Ferien!$C$20,L13&lt;=Ferien!$D$20),AND(L13&gt;=Ferien!$C$21,L13&lt;=Ferien!$D$21))),1,0)</f>
        <v>0</v>
      </c>
      <c r="Q13" s="250">
        <f t="shared" ca="1" si="5"/>
        <v>45392</v>
      </c>
      <c r="R13" s="573" t="str">
        <f t="shared" ca="1" si="6"/>
        <v/>
      </c>
      <c r="S13" s="317" t="str">
        <f ca="1">IFERROR(VLOOKUP(Q13,Mond!$B$3:$C$59,2,0),"")</f>
        <v/>
      </c>
      <c r="T13" s="302" t="str">
        <f ca="1">IFERROR(IF(VLOOKUP(Q13,Gießtage!$L$8:$L$98,1,0),1,0),"")</f>
        <v/>
      </c>
      <c r="U13" s="251">
        <f ca="1">IF(AND(OR(AND(Q13&gt;=Ferien!$C$11,Q13&lt;=Ferien!$D$11),AND(Q13&gt;=Ferien!$C$12,Q13&lt;=Ferien!$D$12),AND(Q13&gt;=Ferien!$C$13,Q13&lt;=Ferien!$D$13),AND(Q13&gt;=Ferien!$C$14,Q13&lt;=Ferien!$D$14),AND(Q13&gt;=Ferien!$C$15,Q13&lt;=Ferien!$D$15),AND(Q13&gt;=Ferien!$C$16,Q13&lt;=Ferien!$D$16),AND(Q13&gt;=Ferien!$C$17,Q13&lt;=Ferien!$D$17),AND(Q13&gt;=Ferien!$C$18,Q13&lt;=Ferien!$D$18),AND(Q13&gt;=Ferien!$C$19,Q13&lt;=Ferien!$D$19),AND(Q13&gt;=Ferien!$C$20,Q13&lt;=Ferien!$D$20),AND(Q13&gt;=Ferien!$C$21,Q13&lt;=Ferien!$D$21))),1,0)</f>
        <v>0</v>
      </c>
      <c r="V13" s="250">
        <f t="shared" ca="1" si="7"/>
        <v>45422</v>
      </c>
      <c r="W13" s="573" t="str">
        <f t="shared" ca="1" si="8"/>
        <v/>
      </c>
      <c r="X13" s="317" t="str">
        <f ca="1">IFERROR(VLOOKUP(V13,Mond!$B$3:$C$59,2,0),"")</f>
        <v/>
      </c>
      <c r="Y13" s="302" t="str">
        <f ca="1">IFERROR(IF(VLOOKUP(V13,Gießtage!$L$8:$L$98,1,0),1,0),"")</f>
        <v/>
      </c>
      <c r="Z13" s="251">
        <f ca="1">IF(AND(OR(AND(V13&gt;=Ferien!$C$11,V13&lt;=Ferien!$D$11),AND(V13&gt;=Ferien!$C$12,V13&lt;=Ferien!$D$12),AND(V13&gt;=Ferien!$C$13,V13&lt;=Ferien!$D$13),AND(V13&gt;=Ferien!$C$14,V13&lt;=Ferien!$D$14),AND(V13&gt;=Ferien!$C$15,V13&lt;=Ferien!$D$15),AND(V13&gt;=Ferien!$C$16,V13&lt;=Ferien!$D$16),AND(V13&gt;=Ferien!$C$17,V13&lt;=Ferien!$D$17),AND(V13&gt;=Ferien!$C$18,V13&lt;=Ferien!$D$18),AND(V13&gt;=Ferien!$C$19,V13&lt;=Ferien!$D$19),AND(V13&gt;=Ferien!$C$20,V13&lt;=Ferien!$D$20),AND(V13&gt;=Ferien!$C$21,V13&lt;=Ferien!$D$21))),1,0)</f>
        <v>0</v>
      </c>
      <c r="AA13" s="250">
        <f t="shared" ca="1" si="9"/>
        <v>45453</v>
      </c>
      <c r="AB13" s="573" t="str">
        <f t="shared" ca="1" si="10"/>
        <v/>
      </c>
      <c r="AC13" s="317" t="str">
        <f ca="1">IFERROR(VLOOKUP(AA13,Mond!$B$3:$C$59,2,0),"")</f>
        <v/>
      </c>
      <c r="AD13" s="302" t="str">
        <f ca="1">IFERROR(IF(VLOOKUP(AA13,Gießtage!$L$8:$L$98,1,0),1,0),"")</f>
        <v/>
      </c>
      <c r="AE13" s="251">
        <f ca="1">IF(AND(OR(AND(AA13&gt;=Ferien!$C$11,AA13&lt;=Ferien!$D$11),AND(AA13&gt;=Ferien!$C$12,AA13&lt;=Ferien!$D$12),AND(AA13&gt;=Ferien!$C$13,AA13&lt;=Ferien!$D$13),AND(AA13&gt;=Ferien!$C$14,AA13&lt;=Ferien!$D$14),AND(AA13&gt;=Ferien!$C$15,AA13&lt;=Ferien!$D$15),AND(AA13&gt;=Ferien!$C$16,AA13&lt;=Ferien!$D$16),AND(AA13&gt;=Ferien!$C$17,AA13&lt;=Ferien!$D$17),AND(AA13&gt;=Ferien!$C$18,AA13&lt;=Ferien!$D$18),AND(AA13&gt;=Ferien!$C$19,AA13&lt;=Ferien!$D$19),AND(AA13&gt;=Ferien!$C$20,AA13&lt;=Ferien!$D$20),AND(AA13&gt;=Ferien!$C$21,AA13&lt;=Ferien!$D$21))),1,0)</f>
        <v>0</v>
      </c>
      <c r="AF13" s="250">
        <f t="shared" ca="1" si="11"/>
        <v>45483</v>
      </c>
      <c r="AG13" s="573" t="str">
        <f t="shared" ca="1" si="12"/>
        <v/>
      </c>
      <c r="AH13" s="317" t="str">
        <f ca="1">IFERROR(VLOOKUP(AF13,Mond!$B$3:$C$59,2,0),"")</f>
        <v/>
      </c>
      <c r="AI13" s="302" t="str">
        <f ca="1">IFERROR(IF(VLOOKUP(AF13,Gießtage!$L$8:$L$98,1,0),1,0),"")</f>
        <v/>
      </c>
      <c r="AJ13" s="251">
        <f ca="1">IF(AND(OR(AND(AF13&gt;=Ferien!$C$11,AF13&lt;=Ferien!$D$11),AND(AF13&gt;=Ferien!$C$12,AF13&lt;=Ferien!$D$12),AND(AF13&gt;=Ferien!$C$13,AF13&lt;=Ferien!$D$13),AND(AF13&gt;=Ferien!$C$14,AF13&lt;=Ferien!$D$14),AND(AF13&gt;=Ferien!$C$15,AF13&lt;=Ferien!$D$15),AND(AF13&gt;=Ferien!$C$16,AF13&lt;=Ferien!$D$16),AND(AF13&gt;=Ferien!$C$17,AF13&lt;=Ferien!$D$17),AND(AF13&gt;=Ferien!$C$18,AF13&lt;=Ferien!$D$18),AND(AF13&gt;=Ferien!$C$19,AF13&lt;=Ferien!$D$19),AND(AF13&gt;=Ferien!$C$20,AF13&lt;=Ferien!$D$20),AND(AF13&gt;=Ferien!$C$21,AF13&lt;=Ferien!$D$21))),1,0)</f>
        <v>0</v>
      </c>
      <c r="AK13" s="250">
        <f t="shared" ca="1" si="13"/>
        <v>45514</v>
      </c>
      <c r="AL13" s="573" t="str">
        <f t="shared" ca="1" si="14"/>
        <v/>
      </c>
      <c r="AM13" s="317" t="str">
        <f ca="1">IFERROR(VLOOKUP(AK13,Mond!$B$3:$C$59,2,0),"")</f>
        <v/>
      </c>
      <c r="AN13" s="302" t="str">
        <f ca="1">IFERROR(IF(VLOOKUP(AK13,Gießtage!$L$8:$L$98,1,0),1,0),"")</f>
        <v/>
      </c>
      <c r="AO13" s="251">
        <f ca="1">IF(AND(OR(AND(AK13&gt;=Ferien!$C$11,AK13&lt;=Ferien!$D$11),AND(AK13&gt;=Ferien!$C$12,AK13&lt;=Ferien!$D$12),AND(AK13&gt;=Ferien!$C$13,AK13&lt;=Ferien!$D$13),AND(AK13&gt;=Ferien!$C$14,AK13&lt;=Ferien!$D$14),AND(AK13&gt;=Ferien!$C$15,AK13&lt;=Ferien!$D$15),AND(AK13&gt;=Ferien!$C$16,AK13&lt;=Ferien!$D$16),AND(AK13&gt;=Ferien!$C$17,AK13&lt;=Ferien!$D$17),AND(AK13&gt;=Ferien!$C$18,AK13&lt;=Ferien!$D$18),AND(AK13&gt;=Ferien!$C$19,AK13&lt;=Ferien!$D$19),AND(AK13&gt;=Ferien!$C$20,AK13&lt;=Ferien!$D$20),AND(AK13&gt;=Ferien!$C$21,AK13&lt;=Ferien!$D$21))),1,0)</f>
        <v>1</v>
      </c>
      <c r="AP13" s="250">
        <f t="shared" ca="1" si="15"/>
        <v>45545</v>
      </c>
      <c r="AQ13" s="573" t="str">
        <f t="shared" ca="1" si="16"/>
        <v/>
      </c>
      <c r="AR13" s="317" t="str">
        <f ca="1">IFERROR(VLOOKUP(AP13,Mond!$B$3:$C$59,2,0),"")</f>
        <v/>
      </c>
      <c r="AS13" s="302" t="str">
        <f ca="1">IFERROR(IF(VLOOKUP(AP13,Gießtage!$L$8:$L$98,1,0),1,0),"")</f>
        <v/>
      </c>
      <c r="AT13" s="251">
        <f ca="1">IF(AND(OR(AND(AP13&gt;=Ferien!$C$11,AP13&lt;=Ferien!$D$11),AND(AP13&gt;=Ferien!$C$12,AP13&lt;=Ferien!$D$12),AND(AP13&gt;=Ferien!$C$13,AP13&lt;=Ferien!$D$13),AND(AP13&gt;=Ferien!$C$14,AP13&lt;=Ferien!$D$14),AND(AP13&gt;=Ferien!$C$15,AP13&lt;=Ferien!$D$15),AND(AP13&gt;=Ferien!$C$16,AP13&lt;=Ferien!$D$16),AND(AP13&gt;=Ferien!$C$17,AP13&lt;=Ferien!$D$17),AND(AP13&gt;=Ferien!$C$18,AP13&lt;=Ferien!$D$18),AND(AP13&gt;=Ferien!$C$19,AP13&lt;=Ferien!$D$19),AND(AP13&gt;=Ferien!$C$20,AP13&lt;=Ferien!$D$20),AND(AP13&gt;=Ferien!$C$21,AP13&lt;=Ferien!$D$21))),1,0)</f>
        <v>0</v>
      </c>
      <c r="AU13" s="250">
        <f t="shared" ca="1" si="17"/>
        <v>45575</v>
      </c>
      <c r="AV13" s="573" t="str">
        <f t="shared" ca="1" si="18"/>
        <v/>
      </c>
      <c r="AW13" s="317" t="str">
        <f ca="1">IFERROR(VLOOKUP(AU13,Mond!$B$3:$C$59,2,0),"")</f>
        <v>G</v>
      </c>
      <c r="AX13" s="302" t="str">
        <f ca="1">IFERROR(IF(VLOOKUP(AU13,Gießtage!$L$8:$L$98,1,0),1,0),"")</f>
        <v/>
      </c>
      <c r="AY13" s="251">
        <f ca="1">IF(AND(OR(AND(AU13&gt;=Ferien!$C$11,AU13&lt;=Ferien!$D$11),AND(AU13&gt;=Ferien!$C$12,AU13&lt;=Ferien!$D$12),AND(AU13&gt;=Ferien!$C$13,AU13&lt;=Ferien!$D$13),AND(AU13&gt;=Ferien!$C$14,AU13&lt;=Ferien!$D$14),AND(AU13&gt;=Ferien!$C$15,AU13&lt;=Ferien!$D$15),AND(AU13&gt;=Ferien!$C$16,AU13&lt;=Ferien!$D$16),AND(AU13&gt;=Ferien!$C$17,AU13&lt;=Ferien!$D$17),AND(AU13&gt;=Ferien!$C$18,AU13&lt;=Ferien!$D$18),AND(AU13&gt;=Ferien!$C$19,AU13&lt;=Ferien!$D$19),AND(AU13&gt;=Ferien!$C$20,AU13&lt;=Ferien!$D$20),AND(AU13&gt;=Ferien!$C$21,AU13&lt;=Ferien!$D$21))),1,0)</f>
        <v>0</v>
      </c>
      <c r="AZ13" s="250">
        <f t="shared" ca="1" si="19"/>
        <v>45606</v>
      </c>
      <c r="BA13" s="573" t="str">
        <f t="shared" ca="1" si="20"/>
        <v>{</v>
      </c>
      <c r="BB13" s="317" t="str">
        <f ca="1">IFERROR(VLOOKUP(AZ13,Mond!$B$3:$C$59,2,0),"")</f>
        <v/>
      </c>
      <c r="BC13" s="302">
        <f ca="1">IFERROR(IF(VLOOKUP(AZ13,Gießtage!$L$8:$L$98,1,0),1,0),"")</f>
        <v>1</v>
      </c>
      <c r="BD13" s="251">
        <f ca="1">IF(AND(OR(AND(AZ13&gt;=Ferien!$C$11,AZ13&lt;=Ferien!$D$11),AND(AZ13&gt;=Ferien!$C$12,AZ13&lt;=Ferien!$D$12),AND(AZ13&gt;=Ferien!$C$13,AZ13&lt;=Ferien!$D$13),AND(AZ13&gt;=Ferien!$C$14,AZ13&lt;=Ferien!$D$14),AND(AZ13&gt;=Ferien!$C$15,AZ13&lt;=Ferien!$D$15),AND(AZ13&gt;=Ferien!$C$16,AZ13&lt;=Ferien!$D$16),AND(AZ13&gt;=Ferien!$C$17,AZ13&lt;=Ferien!$D$17),AND(AZ13&gt;=Ferien!$C$18,AZ13&lt;=Ferien!$D$18),AND(AZ13&gt;=Ferien!$C$19,AZ13&lt;=Ferien!$D$19),AND(AZ13&gt;=Ferien!$C$20,AZ13&lt;=Ferien!$D$20),AND(AZ13&gt;=Ferien!$C$21,AZ13&lt;=Ferien!$D$21))),1,0)</f>
        <v>0</v>
      </c>
      <c r="BE13" s="250">
        <f t="shared" ca="1" si="21"/>
        <v>45636</v>
      </c>
      <c r="BF13" s="573" t="str">
        <f t="shared" ca="1" si="22"/>
        <v/>
      </c>
      <c r="BG13" s="317" t="str">
        <f ca="1">IFERROR(VLOOKUP(BE13,Mond!$B$3:$C$59,2,0),"")</f>
        <v/>
      </c>
      <c r="BH13" s="302" t="str">
        <f ca="1">IFERROR(IF(VLOOKUP(BE13,Gießtage!$L$8:$L$98,1,0),1,0),"")</f>
        <v/>
      </c>
      <c r="BI13" s="252">
        <f ca="1">IF(AND(OR(AND(BE13&gt;=Ferien!$C$11,BE13&lt;=Ferien!$D$11),AND(BE13&gt;=Ferien!$C$12,BE13&lt;=Ferien!$D$12),AND(BE13&gt;=Ferien!$C$13,BE13&lt;=Ferien!$D$13),AND(BE13&gt;=Ferien!$C$14,BE13&lt;=Ferien!$D$14),AND(BE13&gt;=Ferien!$C$15,BE13&lt;=Ferien!$D$15),AND(BE13&gt;=Ferien!$C$16,BE13&lt;=Ferien!$D$16),AND(BE13&gt;=Ferien!$C$17,BE13&lt;=Ferien!$D$17),AND(BE13&gt;=Ferien!$C$18,BE13&lt;=Ferien!$D$18),AND(BE13&gt;=Ferien!$C$19,BE13&lt;=Ferien!$D$19),AND(BE13&gt;=Ferien!$C$20,BE13&lt;=Ferien!$D$20),AND(BE13&gt;=Ferien!$C$21,BE13&lt;=Ferien!$D$21))),1,0)</f>
        <v>0</v>
      </c>
      <c r="BJ13" s="811" t="str">
        <f ca="1">IF(BL13="","",Feiertage!C6)</f>
        <v>Ostermontag</v>
      </c>
      <c r="BK13" s="812"/>
      <c r="BL13" s="338">
        <f ca="1">Feiertage!B6</f>
        <v>45383</v>
      </c>
      <c r="BM13" s="304">
        <f t="shared" ref="BM13:BM25" ca="1" si="30">BL13</f>
        <v>45383</v>
      </c>
      <c r="BN13" s="314" t="str">
        <f t="shared" ref="BN13:BN25" ca="1" si="31">IF(BP14=4,BL13+1,IF(BP14=2,BL13-1,""))</f>
        <v/>
      </c>
      <c r="BO13" s="315" t="str">
        <f t="shared" ref="BO13:BO25" ca="1" si="32">BN13</f>
        <v/>
      </c>
      <c r="BP13" s="253" t="e">
        <f>IF(#REF!="","",WEEKDAY(#REF!,2))</f>
        <v>#REF!</v>
      </c>
      <c r="BQ13" s="236">
        <v>0</v>
      </c>
      <c r="BR13" s="235" t="e">
        <f>IF(WEEKDAY(#REF!)=7,1,0)</f>
        <v>#REF!</v>
      </c>
      <c r="BS13" s="235" t="e">
        <f>IF(WEEKDAY(#REF!)=1,1,0)</f>
        <v>#REF!</v>
      </c>
      <c r="BT13" s="238"/>
      <c r="BU13" s="238"/>
      <c r="BV13" s="238"/>
    </row>
    <row r="14" spans="2:77" ht="19.5" customHeight="1" thickBot="1">
      <c r="B14" s="250">
        <f t="shared" ca="1" si="0"/>
        <v>45302</v>
      </c>
      <c r="C14" s="573" t="str">
        <f t="shared" ca="1" si="1"/>
        <v/>
      </c>
      <c r="D14" s="317" t="str">
        <f ca="1">IFERROR(VLOOKUP(B14,Mond!$B$3:$C$59,2,0),"")</f>
        <v>0</v>
      </c>
      <c r="E14" s="302" t="str">
        <f ca="1">IFERROR(IF(VLOOKUP(B14,Gießtage!$L$8:$L$98,1,0),1,0),"")</f>
        <v/>
      </c>
      <c r="F14" s="251">
        <f ca="1">IF(AND(OR(AND(B14&gt;=Ferien!$C$11,B14&lt;=Ferien!$D$11),AND(B14&gt;=Ferien!$C$12,B14&lt;=Ferien!$D$12),AND(B14&gt;=Ferien!$C$13,B14&lt;=Ferien!$D$13),AND(B14&gt;=Ferien!$C$14,B14&lt;=Ferien!$D$14),AND(B14&gt;=Ferien!$C$15,B14&lt;=Ferien!$D$15),AND(B14&gt;=Ferien!$C$16,B14&lt;=Ferien!$D$16),AND(B14&gt;=Ferien!$C$17,B14&lt;=Ferien!$D$17),AND(B14&gt;=Ferien!$C$18,B14&lt;=Ferien!$D$18),AND(B14&gt;=Ferien!$C$19,B14&lt;=Ferien!$D$19),AND(B14&gt;=Ferien!$C$20,B14&lt;=Ferien!$D$20),AND(B14&gt;=Ferien!$C$21,B14&lt;=Ferien!$D$21))),1,0)</f>
        <v>0</v>
      </c>
      <c r="G14" s="250">
        <f t="shared" ca="1" si="2"/>
        <v>45333</v>
      </c>
      <c r="H14" s="573" t="s">
        <v>258</v>
      </c>
      <c r="I14" s="317" t="str">
        <f ca="1">IFERROR(VLOOKUP(G14,Mond!$B$3:$C$59,2,0),"")</f>
        <v/>
      </c>
      <c r="J14" s="302">
        <f ca="1">IFERROR(IF(VLOOKUP(G14,Gießtage!$L$8:$L$98,1,0),1,0),"")</f>
        <v>1</v>
      </c>
      <c r="K14" s="251">
        <f ca="1">IF(AND(OR(AND(G14&gt;=Ferien!$C$11,G14&lt;=Ferien!$D$11),AND(G14&gt;=Ferien!$C$12,G14&lt;=Ferien!$D$12),AND(G14&gt;=Ferien!$C$13,G14&lt;=Ferien!$D$13),AND(G14&gt;=Ferien!$C$14,G14&lt;=Ferien!$D$14),AND(G14&gt;=Ferien!$C$15,G14&lt;=Ferien!$D$15),AND(G14&gt;=Ferien!$C$16,G14&lt;=Ferien!$D$16),AND(G14&gt;=Ferien!$C$17,G14&lt;=Ferien!$D$17),AND(G14&gt;=Ferien!$C$18,G14&lt;=Ferien!$D$18),AND(G14&gt;=Ferien!$C$19,G14&lt;=Ferien!$D$19),AND(G14&gt;=Ferien!$C$20,G14&lt;=Ferien!$D$20),AND(G14&gt;=Ferien!$C$21,G14&lt;=Ferien!$D$21))),1,0)</f>
        <v>0</v>
      </c>
      <c r="L14" s="250">
        <f t="shared" ca="1" si="3"/>
        <v>45362</v>
      </c>
      <c r="M14" s="573" t="str">
        <f t="shared" ca="1" si="4"/>
        <v/>
      </c>
      <c r="N14" s="317" t="str">
        <f ca="1">IFERROR(VLOOKUP(L14,Mond!$B$3:$C$59,2,0),"")</f>
        <v/>
      </c>
      <c r="O14" s="302" t="str">
        <f ca="1">IFERROR(IF(VLOOKUP(L14,Gießtage!$L$8:$L$98,1,0),1,0),"")</f>
        <v/>
      </c>
      <c r="P14" s="251">
        <f ca="1">IF(AND(OR(AND(L14&gt;=Ferien!$C$11,L14&lt;=Ferien!$D$11),AND(L14&gt;=Ferien!$C$12,L14&lt;=Ferien!$D$12),AND(L14&gt;=Ferien!$C$13,L14&lt;=Ferien!$D$13),AND(L14&gt;=Ferien!$C$14,L14&lt;=Ferien!$D$14),AND(L14&gt;=Ferien!$C$15,L14&lt;=Ferien!$D$15),AND(L14&gt;=Ferien!$C$16,L14&lt;=Ferien!$D$16),AND(L14&gt;=Ferien!$C$17,L14&lt;=Ferien!$D$17),AND(L14&gt;=Ferien!$C$18,L14&lt;=Ferien!$D$18),AND(L14&gt;=Ferien!$C$19,L14&lt;=Ferien!$D$19),AND(L14&gt;=Ferien!$C$20,L14&lt;=Ferien!$D$20),AND(L14&gt;=Ferien!$C$21,L14&lt;=Ferien!$D$21))),1,0)</f>
        <v>0</v>
      </c>
      <c r="Q14" s="250">
        <f t="shared" ca="1" si="5"/>
        <v>45393</v>
      </c>
      <c r="R14" s="573" t="str">
        <f t="shared" ca="1" si="6"/>
        <v/>
      </c>
      <c r="S14" s="317" t="str">
        <f ca="1">IFERROR(VLOOKUP(Q14,Mond!$B$3:$C$59,2,0),"")</f>
        <v/>
      </c>
      <c r="T14" s="302" t="str">
        <f ca="1">IFERROR(IF(VLOOKUP(Q14,Gießtage!$L$8:$L$98,1,0),1,0),"")</f>
        <v/>
      </c>
      <c r="U14" s="251">
        <f ca="1">IF(AND(OR(AND(Q14&gt;=Ferien!$C$11,Q14&lt;=Ferien!$D$11),AND(Q14&gt;=Ferien!$C$12,Q14&lt;=Ferien!$D$12),AND(Q14&gt;=Ferien!$C$13,Q14&lt;=Ferien!$D$13),AND(Q14&gt;=Ferien!$C$14,Q14&lt;=Ferien!$D$14),AND(Q14&gt;=Ferien!$C$15,Q14&lt;=Ferien!$D$15),AND(Q14&gt;=Ferien!$C$16,Q14&lt;=Ferien!$D$16),AND(Q14&gt;=Ferien!$C$17,Q14&lt;=Ferien!$D$17),AND(Q14&gt;=Ferien!$C$18,Q14&lt;=Ferien!$D$18),AND(Q14&gt;=Ferien!$C$19,Q14&lt;=Ferien!$D$19),AND(Q14&gt;=Ferien!$C$20,Q14&lt;=Ferien!$D$20),AND(Q14&gt;=Ferien!$C$21,Q14&lt;=Ferien!$D$21))),1,0)</f>
        <v>0</v>
      </c>
      <c r="V14" s="250">
        <f t="shared" ca="1" si="7"/>
        <v>45423</v>
      </c>
      <c r="W14" s="573" t="str">
        <f t="shared" ca="1" si="8"/>
        <v>{</v>
      </c>
      <c r="X14" s="317" t="str">
        <f ca="1">IFERROR(VLOOKUP(V14,Mond!$B$3:$C$59,2,0),"")</f>
        <v/>
      </c>
      <c r="Y14" s="302">
        <f ca="1">IFERROR(IF(VLOOKUP(V14,Gießtage!$L$8:$L$98,1,0),1,0),"")</f>
        <v>1</v>
      </c>
      <c r="Z14" s="251">
        <f ca="1">IF(AND(OR(AND(V14&gt;=Ferien!$C$11,V14&lt;=Ferien!$D$11),AND(V14&gt;=Ferien!$C$12,V14&lt;=Ferien!$D$12),AND(V14&gt;=Ferien!$C$13,V14&lt;=Ferien!$D$13),AND(V14&gt;=Ferien!$C$14,V14&lt;=Ferien!$D$14),AND(V14&gt;=Ferien!$C$15,V14&lt;=Ferien!$D$15),AND(V14&gt;=Ferien!$C$16,V14&lt;=Ferien!$D$16),AND(V14&gt;=Ferien!$C$17,V14&lt;=Ferien!$D$17),AND(V14&gt;=Ferien!$C$18,V14&lt;=Ferien!$D$18),AND(V14&gt;=Ferien!$C$19,V14&lt;=Ferien!$D$19),AND(V14&gt;=Ferien!$C$20,V14&lt;=Ferien!$D$20),AND(V14&gt;=Ferien!$C$21,V14&lt;=Ferien!$D$21))),1,0)</f>
        <v>0</v>
      </c>
      <c r="AA14" s="250">
        <f t="shared" ca="1" si="9"/>
        <v>45454</v>
      </c>
      <c r="AB14" s="573" t="str">
        <f t="shared" ca="1" si="10"/>
        <v/>
      </c>
      <c r="AC14" s="317" t="str">
        <f ca="1">IFERROR(VLOOKUP(AA14,Mond!$B$3:$C$59,2,0),"")</f>
        <v/>
      </c>
      <c r="AD14" s="302" t="str">
        <f ca="1">IFERROR(IF(VLOOKUP(AA14,Gießtage!$L$8:$L$98,1,0),1,0),"")</f>
        <v/>
      </c>
      <c r="AE14" s="251">
        <f ca="1">IF(AND(OR(AND(AA14&gt;=Ferien!$C$11,AA14&lt;=Ferien!$D$11),AND(AA14&gt;=Ferien!$C$12,AA14&lt;=Ferien!$D$12),AND(AA14&gt;=Ferien!$C$13,AA14&lt;=Ferien!$D$13),AND(AA14&gt;=Ferien!$C$14,AA14&lt;=Ferien!$D$14),AND(AA14&gt;=Ferien!$C$15,AA14&lt;=Ferien!$D$15),AND(AA14&gt;=Ferien!$C$16,AA14&lt;=Ferien!$D$16),AND(AA14&gt;=Ferien!$C$17,AA14&lt;=Ferien!$D$17),AND(AA14&gt;=Ferien!$C$18,AA14&lt;=Ferien!$D$18),AND(AA14&gt;=Ferien!$C$19,AA14&lt;=Ferien!$D$19),AND(AA14&gt;=Ferien!$C$20,AA14&lt;=Ferien!$D$20),AND(AA14&gt;=Ferien!$C$21,AA14&lt;=Ferien!$D$21))),1,0)</f>
        <v>0</v>
      </c>
      <c r="AF14" s="250">
        <f t="shared" ca="1" si="11"/>
        <v>45484</v>
      </c>
      <c r="AG14" s="573" t="str">
        <f t="shared" ca="1" si="12"/>
        <v/>
      </c>
      <c r="AH14" s="317" t="str">
        <f ca="1">IFERROR(VLOOKUP(AF14,Mond!$B$3:$C$59,2,0),"")</f>
        <v/>
      </c>
      <c r="AI14" s="302" t="str">
        <f ca="1">IFERROR(IF(VLOOKUP(AF14,Gießtage!$L$8:$L$98,1,0),1,0),"")</f>
        <v/>
      </c>
      <c r="AJ14" s="251">
        <f ca="1">IF(AND(OR(AND(AF14&gt;=Ferien!$C$11,AF14&lt;=Ferien!$D$11),AND(AF14&gt;=Ferien!$C$12,AF14&lt;=Ferien!$D$12),AND(AF14&gt;=Ferien!$C$13,AF14&lt;=Ferien!$D$13),AND(AF14&gt;=Ferien!$C$14,AF14&lt;=Ferien!$D$14),AND(AF14&gt;=Ferien!$C$15,AF14&lt;=Ferien!$D$15),AND(AF14&gt;=Ferien!$C$16,AF14&lt;=Ferien!$D$16),AND(AF14&gt;=Ferien!$C$17,AF14&lt;=Ferien!$D$17),AND(AF14&gt;=Ferien!$C$18,AF14&lt;=Ferien!$D$18),AND(AF14&gt;=Ferien!$C$19,AF14&lt;=Ferien!$D$19),AND(AF14&gt;=Ferien!$C$20,AF14&lt;=Ferien!$D$20),AND(AF14&gt;=Ferien!$C$21,AF14&lt;=Ferien!$D$21))),1,0)</f>
        <v>0</v>
      </c>
      <c r="AK14" s="250">
        <f t="shared" ca="1" si="13"/>
        <v>45515</v>
      </c>
      <c r="AL14" s="573" t="str">
        <f t="shared" ca="1" si="14"/>
        <v>{</v>
      </c>
      <c r="AM14" s="317" t="str">
        <f ca="1">IFERROR(VLOOKUP(AK14,Mond!$B$3:$C$59,2,0),"")</f>
        <v/>
      </c>
      <c r="AN14" s="302">
        <f ca="1">IFERROR(IF(VLOOKUP(AK14,Gießtage!$L$8:$L$98,1,0),1,0),"")</f>
        <v>1</v>
      </c>
      <c r="AO14" s="251">
        <f ca="1">IF(AND(OR(AND(AK14&gt;=Ferien!$C$11,AK14&lt;=Ferien!$D$11),AND(AK14&gt;=Ferien!$C$12,AK14&lt;=Ferien!$D$12),AND(AK14&gt;=Ferien!$C$13,AK14&lt;=Ferien!$D$13),AND(AK14&gt;=Ferien!$C$14,AK14&lt;=Ferien!$D$14),AND(AK14&gt;=Ferien!$C$15,AK14&lt;=Ferien!$D$15),AND(AK14&gt;=Ferien!$C$16,AK14&lt;=Ferien!$D$16),AND(AK14&gt;=Ferien!$C$17,AK14&lt;=Ferien!$D$17),AND(AK14&gt;=Ferien!$C$18,AK14&lt;=Ferien!$D$18),AND(AK14&gt;=Ferien!$C$19,AK14&lt;=Ferien!$D$19),AND(AK14&gt;=Ferien!$C$20,AK14&lt;=Ferien!$D$20),AND(AK14&gt;=Ferien!$C$21,AK14&lt;=Ferien!$D$21))),1,0)</f>
        <v>1</v>
      </c>
      <c r="AP14" s="250">
        <f t="shared" ca="1" si="15"/>
        <v>45546</v>
      </c>
      <c r="AQ14" s="573" t="str">
        <f t="shared" ca="1" si="16"/>
        <v/>
      </c>
      <c r="AR14" s="317" t="str">
        <f ca="1">IFERROR(VLOOKUP(AP14,Mond!$B$3:$C$59,2,0),"")</f>
        <v>G</v>
      </c>
      <c r="AS14" s="302" t="str">
        <f ca="1">IFERROR(IF(VLOOKUP(AP14,Gießtage!$L$8:$L$98,1,0),1,0),"")</f>
        <v/>
      </c>
      <c r="AT14" s="251">
        <f ca="1">IF(AND(OR(AND(AP14&gt;=Ferien!$C$11,AP14&lt;=Ferien!$D$11),AND(AP14&gt;=Ferien!$C$12,AP14&lt;=Ferien!$D$12),AND(AP14&gt;=Ferien!$C$13,AP14&lt;=Ferien!$D$13),AND(AP14&gt;=Ferien!$C$14,AP14&lt;=Ferien!$D$14),AND(AP14&gt;=Ferien!$C$15,AP14&lt;=Ferien!$D$15),AND(AP14&gt;=Ferien!$C$16,AP14&lt;=Ferien!$D$16),AND(AP14&gt;=Ferien!$C$17,AP14&lt;=Ferien!$D$17),AND(AP14&gt;=Ferien!$C$18,AP14&lt;=Ferien!$D$18),AND(AP14&gt;=Ferien!$C$19,AP14&lt;=Ferien!$D$19),AND(AP14&gt;=Ferien!$C$20,AP14&lt;=Ferien!$D$20),AND(AP14&gt;=Ferien!$C$21,AP14&lt;=Ferien!$D$21))),1,0)</f>
        <v>0</v>
      </c>
      <c r="AU14" s="250">
        <f t="shared" ca="1" si="17"/>
        <v>45576</v>
      </c>
      <c r="AV14" s="573" t="str">
        <f t="shared" ca="1" si="18"/>
        <v/>
      </c>
      <c r="AW14" s="317" t="str">
        <f ca="1">IFERROR(VLOOKUP(AU14,Mond!$B$3:$C$59,2,0),"")</f>
        <v/>
      </c>
      <c r="AX14" s="302" t="str">
        <f ca="1">IFERROR(IF(VLOOKUP(AU14,Gießtage!$L$8:$L$98,1,0),1,0),"")</f>
        <v/>
      </c>
      <c r="AY14" s="251">
        <f ca="1">IF(AND(OR(AND(AU14&gt;=Ferien!$C$11,AU14&lt;=Ferien!$D$11),AND(AU14&gt;=Ferien!$C$12,AU14&lt;=Ferien!$D$12),AND(AU14&gt;=Ferien!$C$13,AU14&lt;=Ferien!$D$13),AND(AU14&gt;=Ferien!$C$14,AU14&lt;=Ferien!$D$14),AND(AU14&gt;=Ferien!$C$15,AU14&lt;=Ferien!$D$15),AND(AU14&gt;=Ferien!$C$16,AU14&lt;=Ferien!$D$16),AND(AU14&gt;=Ferien!$C$17,AU14&lt;=Ferien!$D$17),AND(AU14&gt;=Ferien!$C$18,AU14&lt;=Ferien!$D$18),AND(AU14&gt;=Ferien!$C$19,AU14&lt;=Ferien!$D$19),AND(AU14&gt;=Ferien!$C$20,AU14&lt;=Ferien!$D$20),AND(AU14&gt;=Ferien!$C$21,AU14&lt;=Ferien!$D$21))),1,0)</f>
        <v>0</v>
      </c>
      <c r="AZ14" s="250">
        <f t="shared" ca="1" si="19"/>
        <v>45607</v>
      </c>
      <c r="BA14" s="573" t="str">
        <f t="shared" ca="1" si="20"/>
        <v>{</v>
      </c>
      <c r="BB14" s="317" t="str">
        <f ca="1">IFERROR(VLOOKUP(AZ14,Mond!$B$3:$C$59,2,0),"")</f>
        <v/>
      </c>
      <c r="BC14" s="302">
        <f ca="1">IFERROR(IF(VLOOKUP(AZ14,Gießtage!$L$8:$L$98,1,0),1,0),"")</f>
        <v>1</v>
      </c>
      <c r="BD14" s="251">
        <f ca="1">IF(AND(OR(AND(AZ14&gt;=Ferien!$C$11,AZ14&lt;=Ferien!$D$11),AND(AZ14&gt;=Ferien!$C$12,AZ14&lt;=Ferien!$D$12),AND(AZ14&gt;=Ferien!$C$13,AZ14&lt;=Ferien!$D$13),AND(AZ14&gt;=Ferien!$C$14,AZ14&lt;=Ferien!$D$14),AND(AZ14&gt;=Ferien!$C$15,AZ14&lt;=Ferien!$D$15),AND(AZ14&gt;=Ferien!$C$16,AZ14&lt;=Ferien!$D$16),AND(AZ14&gt;=Ferien!$C$17,AZ14&lt;=Ferien!$D$17),AND(AZ14&gt;=Ferien!$C$18,AZ14&lt;=Ferien!$D$18),AND(AZ14&gt;=Ferien!$C$19,AZ14&lt;=Ferien!$D$19),AND(AZ14&gt;=Ferien!$C$20,AZ14&lt;=Ferien!$D$20),AND(AZ14&gt;=Ferien!$C$21,AZ14&lt;=Ferien!$D$21))),1,0)</f>
        <v>0</v>
      </c>
      <c r="BE14" s="250">
        <f t="shared" ca="1" si="21"/>
        <v>45637</v>
      </c>
      <c r="BF14" s="573" t="str">
        <f t="shared" ca="1" si="22"/>
        <v/>
      </c>
      <c r="BG14" s="317" t="str">
        <f ca="1">IFERROR(VLOOKUP(BE14,Mond!$B$3:$C$59,2,0),"")</f>
        <v/>
      </c>
      <c r="BH14" s="302" t="str">
        <f ca="1">IFERROR(IF(VLOOKUP(BE14,Gießtage!$L$8:$L$98,1,0),1,0),"")</f>
        <v/>
      </c>
      <c r="BI14" s="252">
        <f ca="1">IF(AND(OR(AND(BE14&gt;=Ferien!$C$11,BE14&lt;=Ferien!$D$11),AND(BE14&gt;=Ferien!$C$12,BE14&lt;=Ferien!$D$12),AND(BE14&gt;=Ferien!$C$13,BE14&lt;=Ferien!$D$13),AND(BE14&gt;=Ferien!$C$14,BE14&lt;=Ferien!$D$14),AND(BE14&gt;=Ferien!$C$15,BE14&lt;=Ferien!$D$15),AND(BE14&gt;=Ferien!$C$16,BE14&lt;=Ferien!$D$16),AND(BE14&gt;=Ferien!$C$17,BE14&lt;=Ferien!$D$17),AND(BE14&gt;=Ferien!$C$18,BE14&lt;=Ferien!$D$18),AND(BE14&gt;=Ferien!$C$19,BE14&lt;=Ferien!$D$19),AND(BE14&gt;=Ferien!$C$20,BE14&lt;=Ferien!$D$20),AND(BE14&gt;=Ferien!$C$21,BE14&lt;=Ferien!$D$21))),1,0)</f>
        <v>0</v>
      </c>
      <c r="BJ14" s="811" t="str">
        <f ca="1">IF(BL14="","",Feiertage!C7)</f>
        <v>Maifeiertag</v>
      </c>
      <c r="BK14" s="812"/>
      <c r="BL14" s="338">
        <f ca="1">Feiertage!B7</f>
        <v>45413</v>
      </c>
      <c r="BM14" s="304">
        <f t="shared" ca="1" si="30"/>
        <v>45413</v>
      </c>
      <c r="BN14" s="314" t="str">
        <f t="shared" ca="1" si="31"/>
        <v/>
      </c>
      <c r="BO14" s="315" t="str">
        <f t="shared" ca="1" si="32"/>
        <v/>
      </c>
      <c r="BP14" s="253">
        <f t="shared" ref="BP14:BP27" ca="1" si="33">IF($BL13="","",WEEKDAY($BL13,2))</f>
        <v>1</v>
      </c>
      <c r="BQ14" s="236">
        <v>1</v>
      </c>
      <c r="BR14" s="235">
        <f t="shared" ref="BR14:BR27" ca="1" si="34">IF(WEEKDAY(BL13)=7,1,0)</f>
        <v>0</v>
      </c>
      <c r="BS14" s="235">
        <f t="shared" ref="BS14:BS27" ca="1" si="35">IF(WEEKDAY(BL13)=1,1,0)</f>
        <v>0</v>
      </c>
      <c r="BT14" s="238"/>
      <c r="BU14" s="238"/>
      <c r="BV14" s="238"/>
    </row>
    <row r="15" spans="2:77" ht="19.5" customHeight="1" thickBot="1">
      <c r="B15" s="250">
        <f t="shared" ca="1" si="0"/>
        <v>45303</v>
      </c>
      <c r="C15" s="573" t="str">
        <f t="shared" ca="1" si="1"/>
        <v/>
      </c>
      <c r="D15" s="317" t="str">
        <f ca="1">IFERROR(VLOOKUP(B15,Mond!$B$3:$C$59,2,0),"")</f>
        <v/>
      </c>
      <c r="E15" s="302" t="str">
        <f ca="1">IFERROR(IF(VLOOKUP(B15,Gießtage!$L$8:$L$98,1,0),1,0),"")</f>
        <v/>
      </c>
      <c r="F15" s="251">
        <f ca="1">IF(AND(OR(AND(B15&gt;=Ferien!$C$11,B15&lt;=Ferien!$D$11),AND(B15&gt;=Ferien!$C$12,B15&lt;=Ferien!$D$12),AND(B15&gt;=Ferien!$C$13,B15&lt;=Ferien!$D$13),AND(B15&gt;=Ferien!$C$14,B15&lt;=Ferien!$D$14),AND(B15&gt;=Ferien!$C$15,B15&lt;=Ferien!$D$15),AND(B15&gt;=Ferien!$C$16,B15&lt;=Ferien!$D$16),AND(B15&gt;=Ferien!$C$17,B15&lt;=Ferien!$D$17),AND(B15&gt;=Ferien!$C$18,B15&lt;=Ferien!$D$18),AND(B15&gt;=Ferien!$C$19,B15&lt;=Ferien!$D$19),AND(B15&gt;=Ferien!$C$20,B15&lt;=Ferien!$D$20),AND(B15&gt;=Ferien!$C$21,B15&lt;=Ferien!$D$21))),1,0)</f>
        <v>0</v>
      </c>
      <c r="G15" s="250">
        <f t="shared" ca="1" si="2"/>
        <v>45334</v>
      </c>
      <c r="H15" s="573" t="s">
        <v>258</v>
      </c>
      <c r="I15" s="317" t="str">
        <f ca="1">IFERROR(VLOOKUP(G15,Mond!$B$3:$C$59,2,0),"")</f>
        <v/>
      </c>
      <c r="J15" s="302">
        <f ca="1">IFERROR(IF(VLOOKUP(G15,Gießtage!$L$8:$L$98,1,0),1,0),"")</f>
        <v>1</v>
      </c>
      <c r="K15" s="251">
        <f ca="1">IF(AND(OR(AND(G15&gt;=Ferien!$C$11,G15&lt;=Ferien!$D$11),AND(G15&gt;=Ferien!$C$12,G15&lt;=Ferien!$D$12),AND(G15&gt;=Ferien!$C$13,G15&lt;=Ferien!$D$13),AND(G15&gt;=Ferien!$C$14,G15&lt;=Ferien!$D$14),AND(G15&gt;=Ferien!$C$15,G15&lt;=Ferien!$D$15),AND(G15&gt;=Ferien!$C$16,G15&lt;=Ferien!$D$16),AND(G15&gt;=Ferien!$C$17,G15&lt;=Ferien!$D$17),AND(G15&gt;=Ferien!$C$18,G15&lt;=Ferien!$D$18),AND(G15&gt;=Ferien!$C$19,G15&lt;=Ferien!$D$19),AND(G15&gt;=Ferien!$C$20,G15&lt;=Ferien!$D$20),AND(G15&gt;=Ferien!$C$21,G15&lt;=Ferien!$D$21))),1,0)</f>
        <v>0</v>
      </c>
      <c r="L15" s="250">
        <f t="shared" ca="1" si="3"/>
        <v>45363</v>
      </c>
      <c r="M15" s="573" t="str">
        <f t="shared" ca="1" si="4"/>
        <v/>
      </c>
      <c r="N15" s="317" t="str">
        <f ca="1">IFERROR(VLOOKUP(L15,Mond!$B$3:$C$59,2,0),"")</f>
        <v/>
      </c>
      <c r="O15" s="302" t="str">
        <f ca="1">IFERROR(IF(VLOOKUP(L15,Gießtage!$L$8:$L$98,1,0),1,0),"")</f>
        <v/>
      </c>
      <c r="P15" s="251">
        <f ca="1">IF(AND(OR(AND(L15&gt;=Ferien!$C$11,L15&lt;=Ferien!$D$11),AND(L15&gt;=Ferien!$C$12,L15&lt;=Ferien!$D$12),AND(L15&gt;=Ferien!$C$13,L15&lt;=Ferien!$D$13),AND(L15&gt;=Ferien!$C$14,L15&lt;=Ferien!$D$14),AND(L15&gt;=Ferien!$C$15,L15&lt;=Ferien!$D$15),AND(L15&gt;=Ferien!$C$16,L15&lt;=Ferien!$D$16),AND(L15&gt;=Ferien!$C$17,L15&lt;=Ferien!$D$17),AND(L15&gt;=Ferien!$C$18,L15&lt;=Ferien!$D$18),AND(L15&gt;=Ferien!$C$19,L15&lt;=Ferien!$D$19),AND(L15&gt;=Ferien!$C$20,L15&lt;=Ferien!$D$20),AND(L15&gt;=Ferien!$C$21,L15&lt;=Ferien!$D$21))),1,0)</f>
        <v>0</v>
      </c>
      <c r="Q15" s="250">
        <f t="shared" ca="1" si="5"/>
        <v>45394</v>
      </c>
      <c r="R15" s="573" t="str">
        <f t="shared" ca="1" si="6"/>
        <v/>
      </c>
      <c r="S15" s="317" t="str">
        <f ca="1">IFERROR(VLOOKUP(Q15,Mond!$B$3:$C$59,2,0),"")</f>
        <v/>
      </c>
      <c r="T15" s="302" t="str">
        <f ca="1">IFERROR(IF(VLOOKUP(Q15,Gießtage!$L$8:$L$98,1,0),1,0),"")</f>
        <v/>
      </c>
      <c r="U15" s="251">
        <f ca="1">IF(AND(OR(AND(Q15&gt;=Ferien!$C$11,Q15&lt;=Ferien!$D$11),AND(Q15&gt;=Ferien!$C$12,Q15&lt;=Ferien!$D$12),AND(Q15&gt;=Ferien!$C$13,Q15&lt;=Ferien!$D$13),AND(Q15&gt;=Ferien!$C$14,Q15&lt;=Ferien!$D$14),AND(Q15&gt;=Ferien!$C$15,Q15&lt;=Ferien!$D$15),AND(Q15&gt;=Ferien!$C$16,Q15&lt;=Ferien!$D$16),AND(Q15&gt;=Ferien!$C$17,Q15&lt;=Ferien!$D$17),AND(Q15&gt;=Ferien!$C$18,Q15&lt;=Ferien!$D$18),AND(Q15&gt;=Ferien!$C$19,Q15&lt;=Ferien!$D$19),AND(Q15&gt;=Ferien!$C$20,Q15&lt;=Ferien!$D$20),AND(Q15&gt;=Ferien!$C$21,Q15&lt;=Ferien!$D$21))),1,0)</f>
        <v>0</v>
      </c>
      <c r="V15" s="250">
        <f t="shared" ca="1" si="7"/>
        <v>45424</v>
      </c>
      <c r="W15" s="573" t="str">
        <f t="shared" ca="1" si="8"/>
        <v>{</v>
      </c>
      <c r="X15" s="317" t="str">
        <f ca="1">IFERROR(VLOOKUP(V15,Mond!$B$3:$C$59,2,0),"")</f>
        <v/>
      </c>
      <c r="Y15" s="302">
        <f ca="1">IFERROR(IF(VLOOKUP(V15,Gießtage!$L$8:$L$98,1,0),1,0),"")</f>
        <v>1</v>
      </c>
      <c r="Z15" s="251">
        <f ca="1">IF(AND(OR(AND(V15&gt;=Ferien!$C$11,V15&lt;=Ferien!$D$11),AND(V15&gt;=Ferien!$C$12,V15&lt;=Ferien!$D$12),AND(V15&gt;=Ferien!$C$13,V15&lt;=Ferien!$D$13),AND(V15&gt;=Ferien!$C$14,V15&lt;=Ferien!$D$14),AND(V15&gt;=Ferien!$C$15,V15&lt;=Ferien!$D$15),AND(V15&gt;=Ferien!$C$16,V15&lt;=Ferien!$D$16),AND(V15&gt;=Ferien!$C$17,V15&lt;=Ferien!$D$17),AND(V15&gt;=Ferien!$C$18,V15&lt;=Ferien!$D$18),AND(V15&gt;=Ferien!$C$19,V15&lt;=Ferien!$D$19),AND(V15&gt;=Ferien!$C$20,V15&lt;=Ferien!$D$20),AND(V15&gt;=Ferien!$C$21,V15&lt;=Ferien!$D$21))),1,0)</f>
        <v>0</v>
      </c>
      <c r="AA15" s="250">
        <f t="shared" ca="1" si="9"/>
        <v>45455</v>
      </c>
      <c r="AB15" s="573" t="str">
        <f t="shared" ca="1" si="10"/>
        <v/>
      </c>
      <c r="AC15" s="317" t="str">
        <f ca="1">IFERROR(VLOOKUP(AA15,Mond!$B$3:$C$59,2,0),"")</f>
        <v/>
      </c>
      <c r="AD15" s="302" t="str">
        <f ca="1">IFERROR(IF(VLOOKUP(AA15,Gießtage!$L$8:$L$98,1,0),1,0),"")</f>
        <v/>
      </c>
      <c r="AE15" s="251">
        <f ca="1">IF(AND(OR(AND(AA15&gt;=Ferien!$C$11,AA15&lt;=Ferien!$D$11),AND(AA15&gt;=Ferien!$C$12,AA15&lt;=Ferien!$D$12),AND(AA15&gt;=Ferien!$C$13,AA15&lt;=Ferien!$D$13),AND(AA15&gt;=Ferien!$C$14,AA15&lt;=Ferien!$D$14),AND(AA15&gt;=Ferien!$C$15,AA15&lt;=Ferien!$D$15),AND(AA15&gt;=Ferien!$C$16,AA15&lt;=Ferien!$D$16),AND(AA15&gt;=Ferien!$C$17,AA15&lt;=Ferien!$D$17),AND(AA15&gt;=Ferien!$C$18,AA15&lt;=Ferien!$D$18),AND(AA15&gt;=Ferien!$C$19,AA15&lt;=Ferien!$D$19),AND(AA15&gt;=Ferien!$C$20,AA15&lt;=Ferien!$D$20),AND(AA15&gt;=Ferien!$C$21,AA15&lt;=Ferien!$D$21))),1,0)</f>
        <v>0</v>
      </c>
      <c r="AF15" s="250">
        <f t="shared" ca="1" si="11"/>
        <v>45485</v>
      </c>
      <c r="AG15" s="573" t="str">
        <f t="shared" ca="1" si="12"/>
        <v/>
      </c>
      <c r="AH15" s="317" t="str">
        <f ca="1">IFERROR(VLOOKUP(AF15,Mond!$B$3:$C$59,2,0),"")</f>
        <v/>
      </c>
      <c r="AI15" s="302" t="str">
        <f ca="1">IFERROR(IF(VLOOKUP(AF15,Gießtage!$L$8:$L$98,1,0),1,0),"")</f>
        <v/>
      </c>
      <c r="AJ15" s="251">
        <f ca="1">IF(AND(OR(AND(AF15&gt;=Ferien!$C$11,AF15&lt;=Ferien!$D$11),AND(AF15&gt;=Ferien!$C$12,AF15&lt;=Ferien!$D$12),AND(AF15&gt;=Ferien!$C$13,AF15&lt;=Ferien!$D$13),AND(AF15&gt;=Ferien!$C$14,AF15&lt;=Ferien!$D$14),AND(AF15&gt;=Ferien!$C$15,AF15&lt;=Ferien!$D$15),AND(AF15&gt;=Ferien!$C$16,AF15&lt;=Ferien!$D$16),AND(AF15&gt;=Ferien!$C$17,AF15&lt;=Ferien!$D$17),AND(AF15&gt;=Ferien!$C$18,AF15&lt;=Ferien!$D$18),AND(AF15&gt;=Ferien!$C$19,AF15&lt;=Ferien!$D$19),AND(AF15&gt;=Ferien!$C$20,AF15&lt;=Ferien!$D$20),AND(AF15&gt;=Ferien!$C$21,AF15&lt;=Ferien!$D$21))),1,0)</f>
        <v>0</v>
      </c>
      <c r="AK15" s="250">
        <f t="shared" ca="1" si="13"/>
        <v>45516</v>
      </c>
      <c r="AL15" s="573" t="str">
        <f t="shared" ca="1" si="14"/>
        <v>{</v>
      </c>
      <c r="AM15" s="317" t="str">
        <f ca="1">IFERROR(VLOOKUP(AK15,Mond!$B$3:$C$59,2,0),"")</f>
        <v>G</v>
      </c>
      <c r="AN15" s="302">
        <f ca="1">IFERROR(IF(VLOOKUP(AK15,Gießtage!$L$8:$L$98,1,0),1,0),"")</f>
        <v>1</v>
      </c>
      <c r="AO15" s="251">
        <f ca="1">IF(AND(OR(AND(AK15&gt;=Ferien!$C$11,AK15&lt;=Ferien!$D$11),AND(AK15&gt;=Ferien!$C$12,AK15&lt;=Ferien!$D$12),AND(AK15&gt;=Ferien!$C$13,AK15&lt;=Ferien!$D$13),AND(AK15&gt;=Ferien!$C$14,AK15&lt;=Ferien!$D$14),AND(AK15&gt;=Ferien!$C$15,AK15&lt;=Ferien!$D$15),AND(AK15&gt;=Ferien!$C$16,AK15&lt;=Ferien!$D$16),AND(AK15&gt;=Ferien!$C$17,AK15&lt;=Ferien!$D$17),AND(AK15&gt;=Ferien!$C$18,AK15&lt;=Ferien!$D$18),AND(AK15&gt;=Ferien!$C$19,AK15&lt;=Ferien!$D$19),AND(AK15&gt;=Ferien!$C$20,AK15&lt;=Ferien!$D$20),AND(AK15&gt;=Ferien!$C$21,AK15&lt;=Ferien!$D$21))),1,0)</f>
        <v>1</v>
      </c>
      <c r="AP15" s="250">
        <f t="shared" ca="1" si="15"/>
        <v>45547</v>
      </c>
      <c r="AQ15" s="573" t="str">
        <f t="shared" ca="1" si="16"/>
        <v/>
      </c>
      <c r="AR15" s="317" t="str">
        <f ca="1">IFERROR(VLOOKUP(AP15,Mond!$B$3:$C$59,2,0),"")</f>
        <v/>
      </c>
      <c r="AS15" s="302" t="str">
        <f ca="1">IFERROR(IF(VLOOKUP(AP15,Gießtage!$L$8:$L$98,1,0),1,0),"")</f>
        <v/>
      </c>
      <c r="AT15" s="251">
        <f ca="1">IF(AND(OR(AND(AP15&gt;=Ferien!$C$11,AP15&lt;=Ferien!$D$11),AND(AP15&gt;=Ferien!$C$12,AP15&lt;=Ferien!$D$12),AND(AP15&gt;=Ferien!$C$13,AP15&lt;=Ferien!$D$13),AND(AP15&gt;=Ferien!$C$14,AP15&lt;=Ferien!$D$14),AND(AP15&gt;=Ferien!$C$15,AP15&lt;=Ferien!$D$15),AND(AP15&gt;=Ferien!$C$16,AP15&lt;=Ferien!$D$16),AND(AP15&gt;=Ferien!$C$17,AP15&lt;=Ferien!$D$17),AND(AP15&gt;=Ferien!$C$18,AP15&lt;=Ferien!$D$18),AND(AP15&gt;=Ferien!$C$19,AP15&lt;=Ferien!$D$19),AND(AP15&gt;=Ferien!$C$20,AP15&lt;=Ferien!$D$20),AND(AP15&gt;=Ferien!$C$21,AP15&lt;=Ferien!$D$21))),1,0)</f>
        <v>0</v>
      </c>
      <c r="AU15" s="250">
        <f t="shared" ca="1" si="17"/>
        <v>45577</v>
      </c>
      <c r="AV15" s="573" t="str">
        <f t="shared" ca="1" si="18"/>
        <v/>
      </c>
      <c r="AW15" s="317" t="str">
        <f ca="1">IFERROR(VLOOKUP(AU15,Mond!$B$3:$C$59,2,0),"")</f>
        <v/>
      </c>
      <c r="AX15" s="302" t="str">
        <f ca="1">IFERROR(IF(VLOOKUP(AU15,Gießtage!$L$8:$L$98,1,0),1,0),"")</f>
        <v/>
      </c>
      <c r="AY15" s="251">
        <f ca="1">IF(AND(OR(AND(AU15&gt;=Ferien!$C$11,AU15&lt;=Ferien!$D$11),AND(AU15&gt;=Ferien!$C$12,AU15&lt;=Ferien!$D$12),AND(AU15&gt;=Ferien!$C$13,AU15&lt;=Ferien!$D$13),AND(AU15&gt;=Ferien!$C$14,AU15&lt;=Ferien!$D$14),AND(AU15&gt;=Ferien!$C$15,AU15&lt;=Ferien!$D$15),AND(AU15&gt;=Ferien!$C$16,AU15&lt;=Ferien!$D$16),AND(AU15&gt;=Ferien!$C$17,AU15&lt;=Ferien!$D$17),AND(AU15&gt;=Ferien!$C$18,AU15&lt;=Ferien!$D$18),AND(AU15&gt;=Ferien!$C$19,AU15&lt;=Ferien!$D$19),AND(AU15&gt;=Ferien!$C$20,AU15&lt;=Ferien!$D$20),AND(AU15&gt;=Ferien!$C$21,AU15&lt;=Ferien!$D$21))),1,0)</f>
        <v>0</v>
      </c>
      <c r="AZ15" s="250">
        <f t="shared" ca="1" si="19"/>
        <v>45608</v>
      </c>
      <c r="BA15" s="573" t="str">
        <f t="shared" ca="1" si="20"/>
        <v/>
      </c>
      <c r="BB15" s="317" t="str">
        <f ca="1">IFERROR(VLOOKUP(AZ15,Mond!$B$3:$C$59,2,0),"")</f>
        <v/>
      </c>
      <c r="BC15" s="302" t="str">
        <f ca="1">IFERROR(IF(VLOOKUP(AZ15,Gießtage!$L$8:$L$98,1,0),1,0),"")</f>
        <v/>
      </c>
      <c r="BD15" s="251">
        <f ca="1">IF(AND(OR(AND(AZ15&gt;=Ferien!$C$11,AZ15&lt;=Ferien!$D$11),AND(AZ15&gt;=Ferien!$C$12,AZ15&lt;=Ferien!$D$12),AND(AZ15&gt;=Ferien!$C$13,AZ15&lt;=Ferien!$D$13),AND(AZ15&gt;=Ferien!$C$14,AZ15&lt;=Ferien!$D$14),AND(AZ15&gt;=Ferien!$C$15,AZ15&lt;=Ferien!$D$15),AND(AZ15&gt;=Ferien!$C$16,AZ15&lt;=Ferien!$D$16),AND(AZ15&gt;=Ferien!$C$17,AZ15&lt;=Ferien!$D$17),AND(AZ15&gt;=Ferien!$C$18,AZ15&lt;=Ferien!$D$18),AND(AZ15&gt;=Ferien!$C$19,AZ15&lt;=Ferien!$D$19),AND(AZ15&gt;=Ferien!$C$20,AZ15&lt;=Ferien!$D$20),AND(AZ15&gt;=Ferien!$C$21,AZ15&lt;=Ferien!$D$21))),1,0)</f>
        <v>0</v>
      </c>
      <c r="BE15" s="250">
        <f t="shared" ca="1" si="21"/>
        <v>45638</v>
      </c>
      <c r="BF15" s="573" t="str">
        <f t="shared" ca="1" si="22"/>
        <v/>
      </c>
      <c r="BG15" s="317" t="str">
        <f ca="1">IFERROR(VLOOKUP(BE15,Mond!$B$3:$C$59,2,0),"")</f>
        <v/>
      </c>
      <c r="BH15" s="302" t="str">
        <f ca="1">IFERROR(IF(VLOOKUP(BE15,Gießtage!$L$8:$L$98,1,0),1,0),"")</f>
        <v/>
      </c>
      <c r="BI15" s="252">
        <f ca="1">IF(AND(OR(AND(BE15&gt;=Ferien!$C$11,BE15&lt;=Ferien!$D$11),AND(BE15&gt;=Ferien!$C$12,BE15&lt;=Ferien!$D$12),AND(BE15&gt;=Ferien!$C$13,BE15&lt;=Ferien!$D$13),AND(BE15&gt;=Ferien!$C$14,BE15&lt;=Ferien!$D$14),AND(BE15&gt;=Ferien!$C$15,BE15&lt;=Ferien!$D$15),AND(BE15&gt;=Ferien!$C$16,BE15&lt;=Ferien!$D$16),AND(BE15&gt;=Ferien!$C$17,BE15&lt;=Ferien!$D$17),AND(BE15&gt;=Ferien!$C$18,BE15&lt;=Ferien!$D$18),AND(BE15&gt;=Ferien!$C$19,BE15&lt;=Ferien!$D$19),AND(BE15&gt;=Ferien!$C$20,BE15&lt;=Ferien!$D$20),AND(BE15&gt;=Ferien!$C$21,BE15&lt;=Ferien!$D$21))),1,0)</f>
        <v>0</v>
      </c>
      <c r="BJ15" s="811" t="str">
        <f ca="1">IF(BL15="","",Feiertage!C8)</f>
        <v>Christi Himmelfahrt</v>
      </c>
      <c r="BK15" s="812"/>
      <c r="BL15" s="338">
        <f ca="1">Feiertage!B8</f>
        <v>45421</v>
      </c>
      <c r="BM15" s="304">
        <f t="shared" ca="1" si="30"/>
        <v>45421</v>
      </c>
      <c r="BN15" s="314">
        <f t="shared" ca="1" si="31"/>
        <v>45422</v>
      </c>
      <c r="BO15" s="315">
        <f t="shared" ca="1" si="32"/>
        <v>45422</v>
      </c>
      <c r="BP15" s="253">
        <f t="shared" ca="1" si="33"/>
        <v>3</v>
      </c>
      <c r="BQ15" s="236">
        <v>0</v>
      </c>
      <c r="BR15" s="235">
        <f t="shared" ca="1" si="34"/>
        <v>0</v>
      </c>
      <c r="BS15" s="235">
        <f t="shared" ca="1" si="35"/>
        <v>0</v>
      </c>
      <c r="BT15" s="238"/>
      <c r="BU15" s="238"/>
      <c r="BV15" s="238"/>
    </row>
    <row r="16" spans="2:77" ht="19.5" customHeight="1" thickBot="1">
      <c r="B16" s="250">
        <f t="shared" ca="1" si="0"/>
        <v>45304</v>
      </c>
      <c r="C16" s="573" t="str">
        <f t="shared" ca="1" si="1"/>
        <v/>
      </c>
      <c r="D16" s="317" t="str">
        <f ca="1">IFERROR(VLOOKUP(B16,Mond!$B$3:$C$59,2,0),"")</f>
        <v/>
      </c>
      <c r="E16" s="302" t="str">
        <f ca="1">IFERROR(IF(VLOOKUP(B16,Gießtage!$L$8:$L$98,1,0),1,0),"")</f>
        <v/>
      </c>
      <c r="F16" s="251">
        <f ca="1">IF(AND(OR(AND(B16&gt;=Ferien!$C$11,B16&lt;=Ferien!$D$11),AND(B16&gt;=Ferien!$C$12,B16&lt;=Ferien!$D$12),AND(B16&gt;=Ferien!$C$13,B16&lt;=Ferien!$D$13),AND(B16&gt;=Ferien!$C$14,B16&lt;=Ferien!$D$14),AND(B16&gt;=Ferien!$C$15,B16&lt;=Ferien!$D$15),AND(B16&gt;=Ferien!$C$16,B16&lt;=Ferien!$D$16),AND(B16&gt;=Ferien!$C$17,B16&lt;=Ferien!$D$17),AND(B16&gt;=Ferien!$C$18,B16&lt;=Ferien!$D$18),AND(B16&gt;=Ferien!$C$19,B16&lt;=Ferien!$D$19),AND(B16&gt;=Ferien!$C$20,B16&lt;=Ferien!$D$20),AND(B16&gt;=Ferien!$C$21,B16&lt;=Ferien!$D$21))),1,0)</f>
        <v>0</v>
      </c>
      <c r="G16" s="250">
        <f t="shared" ca="1" si="2"/>
        <v>45335</v>
      </c>
      <c r="H16" s="573" t="s">
        <v>258</v>
      </c>
      <c r="I16" s="317" t="str">
        <f ca="1">IFERROR(VLOOKUP(G16,Mond!$B$3:$C$59,2,0),"")</f>
        <v/>
      </c>
      <c r="J16" s="302" t="str">
        <f ca="1">IFERROR(IF(VLOOKUP(G16,Gießtage!$L$8:$L$98,1,0),1,0),"")</f>
        <v/>
      </c>
      <c r="K16" s="251">
        <f ca="1">IF(AND(OR(AND(G16&gt;=Ferien!$C$11,G16&lt;=Ferien!$D$11),AND(G16&gt;=Ferien!$C$12,G16&lt;=Ferien!$D$12),AND(G16&gt;=Ferien!$C$13,G16&lt;=Ferien!$D$13),AND(G16&gt;=Ferien!$C$14,G16&lt;=Ferien!$D$14),AND(G16&gt;=Ferien!$C$15,G16&lt;=Ferien!$D$15),AND(G16&gt;=Ferien!$C$16,G16&lt;=Ferien!$D$16),AND(G16&gt;=Ferien!$C$17,G16&lt;=Ferien!$D$17),AND(G16&gt;=Ferien!$C$18,G16&lt;=Ferien!$D$18),AND(G16&gt;=Ferien!$C$19,G16&lt;=Ferien!$D$19),AND(G16&gt;=Ferien!$C$20,G16&lt;=Ferien!$D$20),AND(G16&gt;=Ferien!$C$21,G16&lt;=Ferien!$D$21))),1,0)</f>
        <v>0</v>
      </c>
      <c r="L16" s="250">
        <f t="shared" ca="1" si="3"/>
        <v>45364</v>
      </c>
      <c r="M16" s="573" t="str">
        <f t="shared" ca="1" si="4"/>
        <v/>
      </c>
      <c r="N16" s="317" t="str">
        <f ca="1">IFERROR(VLOOKUP(L16,Mond!$B$3:$C$59,2,0),"")</f>
        <v/>
      </c>
      <c r="O16" s="302" t="str">
        <f ca="1">IFERROR(IF(VLOOKUP(L16,Gießtage!$L$8:$L$98,1,0),1,0),"")</f>
        <v/>
      </c>
      <c r="P16" s="251">
        <f ca="1">IF(AND(OR(AND(L16&gt;=Ferien!$C$11,L16&lt;=Ferien!$D$11),AND(L16&gt;=Ferien!$C$12,L16&lt;=Ferien!$D$12),AND(L16&gt;=Ferien!$C$13,L16&lt;=Ferien!$D$13),AND(L16&gt;=Ferien!$C$14,L16&lt;=Ferien!$D$14),AND(L16&gt;=Ferien!$C$15,L16&lt;=Ferien!$D$15),AND(L16&gt;=Ferien!$C$16,L16&lt;=Ferien!$D$16),AND(L16&gt;=Ferien!$C$17,L16&lt;=Ferien!$D$17),AND(L16&gt;=Ferien!$C$18,L16&lt;=Ferien!$D$18),AND(L16&gt;=Ferien!$C$19,L16&lt;=Ferien!$D$19),AND(L16&gt;=Ferien!$C$20,L16&lt;=Ferien!$D$20),AND(L16&gt;=Ferien!$C$21,L16&lt;=Ferien!$D$21))),1,0)</f>
        <v>0</v>
      </c>
      <c r="Q16" s="250">
        <f t="shared" ca="1" si="5"/>
        <v>45395</v>
      </c>
      <c r="R16" s="573" t="str">
        <f t="shared" ca="1" si="6"/>
        <v/>
      </c>
      <c r="S16" s="317" t="str">
        <f ca="1">IFERROR(VLOOKUP(Q16,Mond!$B$3:$C$59,2,0),"")</f>
        <v/>
      </c>
      <c r="T16" s="302" t="str">
        <f ca="1">IFERROR(IF(VLOOKUP(Q16,Gießtage!$L$8:$L$98,1,0),1,0),"")</f>
        <v/>
      </c>
      <c r="U16" s="251">
        <f ca="1">IF(AND(OR(AND(Q16&gt;=Ferien!$C$11,Q16&lt;=Ferien!$D$11),AND(Q16&gt;=Ferien!$C$12,Q16&lt;=Ferien!$D$12),AND(Q16&gt;=Ferien!$C$13,Q16&lt;=Ferien!$D$13),AND(Q16&gt;=Ferien!$C$14,Q16&lt;=Ferien!$D$14),AND(Q16&gt;=Ferien!$C$15,Q16&lt;=Ferien!$D$15),AND(Q16&gt;=Ferien!$C$16,Q16&lt;=Ferien!$D$16),AND(Q16&gt;=Ferien!$C$17,Q16&lt;=Ferien!$D$17),AND(Q16&gt;=Ferien!$C$18,Q16&lt;=Ferien!$D$18),AND(Q16&gt;=Ferien!$C$19,Q16&lt;=Ferien!$D$19),AND(Q16&gt;=Ferien!$C$20,Q16&lt;=Ferien!$D$20),AND(Q16&gt;=Ferien!$C$21,Q16&lt;=Ferien!$D$21))),1,0)</f>
        <v>0</v>
      </c>
      <c r="V16" s="250">
        <f t="shared" ca="1" si="7"/>
        <v>45425</v>
      </c>
      <c r="W16" s="573" t="str">
        <f t="shared" ca="1" si="8"/>
        <v/>
      </c>
      <c r="X16" s="317" t="str">
        <f ca="1">IFERROR(VLOOKUP(V16,Mond!$B$3:$C$59,2,0),"")</f>
        <v/>
      </c>
      <c r="Y16" s="302" t="str">
        <f ca="1">IFERROR(IF(VLOOKUP(V16,Gießtage!$L$8:$L$98,1,0),1,0),"")</f>
        <v/>
      </c>
      <c r="Z16" s="251">
        <f ca="1">IF(AND(OR(AND(V16&gt;=Ferien!$C$11,V16&lt;=Ferien!$D$11),AND(V16&gt;=Ferien!$C$12,V16&lt;=Ferien!$D$12),AND(V16&gt;=Ferien!$C$13,V16&lt;=Ferien!$D$13),AND(V16&gt;=Ferien!$C$14,V16&lt;=Ferien!$D$14),AND(V16&gt;=Ferien!$C$15,V16&lt;=Ferien!$D$15),AND(V16&gt;=Ferien!$C$16,V16&lt;=Ferien!$D$16),AND(V16&gt;=Ferien!$C$17,V16&lt;=Ferien!$D$17),AND(V16&gt;=Ferien!$C$18,V16&lt;=Ferien!$D$18),AND(V16&gt;=Ferien!$C$19,V16&lt;=Ferien!$D$19),AND(V16&gt;=Ferien!$C$20,V16&lt;=Ferien!$D$20),AND(V16&gt;=Ferien!$C$21,V16&lt;=Ferien!$D$21))),1,0)</f>
        <v>0</v>
      </c>
      <c r="AA16" s="250">
        <f t="shared" ca="1" si="9"/>
        <v>45456</v>
      </c>
      <c r="AB16" s="573" t="str">
        <f t="shared" ca="1" si="10"/>
        <v/>
      </c>
      <c r="AC16" s="317" t="str">
        <f ca="1">IFERROR(VLOOKUP(AA16,Mond!$B$3:$C$59,2,0),"")</f>
        <v/>
      </c>
      <c r="AD16" s="302" t="str">
        <f ca="1">IFERROR(IF(VLOOKUP(AA16,Gießtage!$L$8:$L$98,1,0),1,0),"")</f>
        <v/>
      </c>
      <c r="AE16" s="251">
        <f ca="1">IF(AND(OR(AND(AA16&gt;=Ferien!$C$11,AA16&lt;=Ferien!$D$11),AND(AA16&gt;=Ferien!$C$12,AA16&lt;=Ferien!$D$12),AND(AA16&gt;=Ferien!$C$13,AA16&lt;=Ferien!$D$13),AND(AA16&gt;=Ferien!$C$14,AA16&lt;=Ferien!$D$14),AND(AA16&gt;=Ferien!$C$15,AA16&lt;=Ferien!$D$15),AND(AA16&gt;=Ferien!$C$16,AA16&lt;=Ferien!$D$16),AND(AA16&gt;=Ferien!$C$17,AA16&lt;=Ferien!$D$17),AND(AA16&gt;=Ferien!$C$18,AA16&lt;=Ferien!$D$18),AND(AA16&gt;=Ferien!$C$19,AA16&lt;=Ferien!$D$19),AND(AA16&gt;=Ferien!$C$20,AA16&lt;=Ferien!$D$20),AND(AA16&gt;=Ferien!$C$21,AA16&lt;=Ferien!$D$21))),1,0)</f>
        <v>0</v>
      </c>
      <c r="AF16" s="250">
        <f t="shared" ca="1" si="11"/>
        <v>45486</v>
      </c>
      <c r="AG16" s="573" t="str">
        <f t="shared" ca="1" si="12"/>
        <v/>
      </c>
      <c r="AH16" s="317" t="str">
        <f ca="1">IFERROR(VLOOKUP(AF16,Mond!$B$3:$C$59,2,0),"")</f>
        <v>G</v>
      </c>
      <c r="AI16" s="302" t="str">
        <f ca="1">IFERROR(IF(VLOOKUP(AF16,Gießtage!$L$8:$L$98,1,0),1,0),"")</f>
        <v/>
      </c>
      <c r="AJ16" s="251">
        <f ca="1">IF(AND(OR(AND(AF16&gt;=Ferien!$C$11,AF16&lt;=Ferien!$D$11),AND(AF16&gt;=Ferien!$C$12,AF16&lt;=Ferien!$D$12),AND(AF16&gt;=Ferien!$C$13,AF16&lt;=Ferien!$D$13),AND(AF16&gt;=Ferien!$C$14,AF16&lt;=Ferien!$D$14),AND(AF16&gt;=Ferien!$C$15,AF16&lt;=Ferien!$D$15),AND(AF16&gt;=Ferien!$C$16,AF16&lt;=Ferien!$D$16),AND(AF16&gt;=Ferien!$C$17,AF16&lt;=Ferien!$D$17),AND(AF16&gt;=Ferien!$C$18,AF16&lt;=Ferien!$D$18),AND(AF16&gt;=Ferien!$C$19,AF16&lt;=Ferien!$D$19),AND(AF16&gt;=Ferien!$C$20,AF16&lt;=Ferien!$D$20),AND(AF16&gt;=Ferien!$C$21,AF16&lt;=Ferien!$D$21))),1,0)</f>
        <v>0</v>
      </c>
      <c r="AK16" s="250">
        <f t="shared" ca="1" si="13"/>
        <v>45517</v>
      </c>
      <c r="AL16" s="573" t="str">
        <f t="shared" ca="1" si="14"/>
        <v/>
      </c>
      <c r="AM16" s="317" t="str">
        <f ca="1">IFERROR(VLOOKUP(AK16,Mond!$B$3:$C$59,2,0),"")</f>
        <v/>
      </c>
      <c r="AN16" s="302" t="str">
        <f ca="1">IFERROR(IF(VLOOKUP(AK16,Gießtage!$L$8:$L$98,1,0),1,0),"")</f>
        <v/>
      </c>
      <c r="AO16" s="251">
        <f ca="1">IF(AND(OR(AND(AK16&gt;=Ferien!$C$11,AK16&lt;=Ferien!$D$11),AND(AK16&gt;=Ferien!$C$12,AK16&lt;=Ferien!$D$12),AND(AK16&gt;=Ferien!$C$13,AK16&lt;=Ferien!$D$13),AND(AK16&gt;=Ferien!$C$14,AK16&lt;=Ferien!$D$14),AND(AK16&gt;=Ferien!$C$15,AK16&lt;=Ferien!$D$15),AND(AK16&gt;=Ferien!$C$16,AK16&lt;=Ferien!$D$16),AND(AK16&gt;=Ferien!$C$17,AK16&lt;=Ferien!$D$17),AND(AK16&gt;=Ferien!$C$18,AK16&lt;=Ferien!$D$18),AND(AK16&gt;=Ferien!$C$19,AK16&lt;=Ferien!$D$19),AND(AK16&gt;=Ferien!$C$20,AK16&lt;=Ferien!$D$20),AND(AK16&gt;=Ferien!$C$21,AK16&lt;=Ferien!$D$21))),1,0)</f>
        <v>1</v>
      </c>
      <c r="AP16" s="250">
        <f t="shared" ca="1" si="15"/>
        <v>45548</v>
      </c>
      <c r="AQ16" s="573" t="str">
        <f t="shared" ca="1" si="16"/>
        <v/>
      </c>
      <c r="AR16" s="317" t="str">
        <f ca="1">IFERROR(VLOOKUP(AP16,Mond!$B$3:$C$59,2,0),"")</f>
        <v/>
      </c>
      <c r="AS16" s="302" t="str">
        <f ca="1">IFERROR(IF(VLOOKUP(AP16,Gießtage!$L$8:$L$98,1,0),1,0),"")</f>
        <v/>
      </c>
      <c r="AT16" s="251">
        <f ca="1">IF(AND(OR(AND(AP16&gt;=Ferien!$C$11,AP16&lt;=Ferien!$D$11),AND(AP16&gt;=Ferien!$C$12,AP16&lt;=Ferien!$D$12),AND(AP16&gt;=Ferien!$C$13,AP16&lt;=Ferien!$D$13),AND(AP16&gt;=Ferien!$C$14,AP16&lt;=Ferien!$D$14),AND(AP16&gt;=Ferien!$C$15,AP16&lt;=Ferien!$D$15),AND(AP16&gt;=Ferien!$C$16,AP16&lt;=Ferien!$D$16),AND(AP16&gt;=Ferien!$C$17,AP16&lt;=Ferien!$D$17),AND(AP16&gt;=Ferien!$C$18,AP16&lt;=Ferien!$D$18),AND(AP16&gt;=Ferien!$C$19,AP16&lt;=Ferien!$D$19),AND(AP16&gt;=Ferien!$C$20,AP16&lt;=Ferien!$D$20),AND(AP16&gt;=Ferien!$C$21,AP16&lt;=Ferien!$D$21))),1,0)</f>
        <v>0</v>
      </c>
      <c r="AU16" s="250">
        <f t="shared" ca="1" si="17"/>
        <v>45578</v>
      </c>
      <c r="AV16" s="573" t="str">
        <f t="shared" ca="1" si="18"/>
        <v/>
      </c>
      <c r="AW16" s="317" t="str">
        <f ca="1">IFERROR(VLOOKUP(AU16,Mond!$B$3:$C$59,2,0),"")</f>
        <v/>
      </c>
      <c r="AX16" s="302" t="str">
        <f ca="1">IFERROR(IF(VLOOKUP(AU16,Gießtage!$L$8:$L$98,1,0),1,0),"")</f>
        <v/>
      </c>
      <c r="AY16" s="251">
        <f ca="1">IF(AND(OR(AND(AU16&gt;=Ferien!$C$11,AU16&lt;=Ferien!$D$11),AND(AU16&gt;=Ferien!$C$12,AU16&lt;=Ferien!$D$12),AND(AU16&gt;=Ferien!$C$13,AU16&lt;=Ferien!$D$13),AND(AU16&gt;=Ferien!$C$14,AU16&lt;=Ferien!$D$14),AND(AU16&gt;=Ferien!$C$15,AU16&lt;=Ferien!$D$15),AND(AU16&gt;=Ferien!$C$16,AU16&lt;=Ferien!$D$16),AND(AU16&gt;=Ferien!$C$17,AU16&lt;=Ferien!$D$17),AND(AU16&gt;=Ferien!$C$18,AU16&lt;=Ferien!$D$18),AND(AU16&gt;=Ferien!$C$19,AU16&lt;=Ferien!$D$19),AND(AU16&gt;=Ferien!$C$20,AU16&lt;=Ferien!$D$20),AND(AU16&gt;=Ferien!$C$21,AU16&lt;=Ferien!$D$21))),1,0)</f>
        <v>0</v>
      </c>
      <c r="AZ16" s="250">
        <f t="shared" ca="1" si="19"/>
        <v>45609</v>
      </c>
      <c r="BA16" s="573" t="str">
        <f t="shared" ca="1" si="20"/>
        <v/>
      </c>
      <c r="BB16" s="317" t="str">
        <f ca="1">IFERROR(VLOOKUP(AZ16,Mond!$B$3:$C$59,2,0),"")</f>
        <v/>
      </c>
      <c r="BC16" s="302" t="str">
        <f ca="1">IFERROR(IF(VLOOKUP(AZ16,Gießtage!$L$8:$L$98,1,0),1,0),"")</f>
        <v/>
      </c>
      <c r="BD16" s="251">
        <f ca="1">IF(AND(OR(AND(AZ16&gt;=Ferien!$C$11,AZ16&lt;=Ferien!$D$11),AND(AZ16&gt;=Ferien!$C$12,AZ16&lt;=Ferien!$D$12),AND(AZ16&gt;=Ferien!$C$13,AZ16&lt;=Ferien!$D$13),AND(AZ16&gt;=Ferien!$C$14,AZ16&lt;=Ferien!$D$14),AND(AZ16&gt;=Ferien!$C$15,AZ16&lt;=Ferien!$D$15),AND(AZ16&gt;=Ferien!$C$16,AZ16&lt;=Ferien!$D$16),AND(AZ16&gt;=Ferien!$C$17,AZ16&lt;=Ferien!$D$17),AND(AZ16&gt;=Ferien!$C$18,AZ16&lt;=Ferien!$D$18),AND(AZ16&gt;=Ferien!$C$19,AZ16&lt;=Ferien!$D$19),AND(AZ16&gt;=Ferien!$C$20,AZ16&lt;=Ferien!$D$20),AND(AZ16&gt;=Ferien!$C$21,AZ16&lt;=Ferien!$D$21))),1,0)</f>
        <v>0</v>
      </c>
      <c r="BE16" s="250">
        <f t="shared" ca="1" si="21"/>
        <v>45639</v>
      </c>
      <c r="BF16" s="573" t="str">
        <f t="shared" ca="1" si="22"/>
        <v/>
      </c>
      <c r="BG16" s="317" t="str">
        <f ca="1">IFERROR(VLOOKUP(BE16,Mond!$B$3:$C$59,2,0),"")</f>
        <v/>
      </c>
      <c r="BH16" s="302" t="str">
        <f ca="1">IFERROR(IF(VLOOKUP(BE16,Gießtage!$L$8:$L$98,1,0),1,0),"")</f>
        <v/>
      </c>
      <c r="BI16" s="252">
        <f ca="1">IF(AND(OR(AND(BE16&gt;=Ferien!$C$11,BE16&lt;=Ferien!$D$11),AND(BE16&gt;=Ferien!$C$12,BE16&lt;=Ferien!$D$12),AND(BE16&gt;=Ferien!$C$13,BE16&lt;=Ferien!$D$13),AND(BE16&gt;=Ferien!$C$14,BE16&lt;=Ferien!$D$14),AND(BE16&gt;=Ferien!$C$15,BE16&lt;=Ferien!$D$15),AND(BE16&gt;=Ferien!$C$16,BE16&lt;=Ferien!$D$16),AND(BE16&gt;=Ferien!$C$17,BE16&lt;=Ferien!$D$17),AND(BE16&gt;=Ferien!$C$18,BE16&lt;=Ferien!$D$18),AND(BE16&gt;=Ferien!$C$19,BE16&lt;=Ferien!$D$19),AND(BE16&gt;=Ferien!$C$20,BE16&lt;=Ferien!$D$20),AND(BE16&gt;=Ferien!$C$21,BE16&lt;=Ferien!$D$21))),1,0)</f>
        <v>0</v>
      </c>
      <c r="BJ16" s="811" t="str">
        <f ca="1">IF(BL16="","",Feiertage!C9)</f>
        <v>Pfingstmontag</v>
      </c>
      <c r="BK16" s="812"/>
      <c r="BL16" s="338">
        <f ca="1">Feiertage!B9</f>
        <v>45432</v>
      </c>
      <c r="BM16" s="304">
        <f t="shared" ca="1" si="30"/>
        <v>45432</v>
      </c>
      <c r="BN16" s="314" t="str">
        <f t="shared" ca="1" si="31"/>
        <v/>
      </c>
      <c r="BO16" s="315" t="str">
        <f t="shared" ca="1" si="32"/>
        <v/>
      </c>
      <c r="BP16" s="253">
        <f t="shared" ca="1" si="33"/>
        <v>4</v>
      </c>
      <c r="BQ16" s="236">
        <v>0</v>
      </c>
      <c r="BR16" s="235">
        <f t="shared" ca="1" si="34"/>
        <v>0</v>
      </c>
      <c r="BS16" s="235">
        <f t="shared" ca="1" si="35"/>
        <v>0</v>
      </c>
      <c r="BT16" s="238"/>
      <c r="BU16" s="238"/>
      <c r="BV16" s="238"/>
    </row>
    <row r="17" spans="2:77" ht="19.5" customHeight="1" thickBot="1">
      <c r="B17" s="250">
        <f t="shared" ca="1" si="0"/>
        <v>45305</v>
      </c>
      <c r="C17" s="573" t="str">
        <f t="shared" ca="1" si="1"/>
        <v>{</v>
      </c>
      <c r="D17" s="317" t="str">
        <f ca="1">IFERROR(VLOOKUP(B17,Mond!$B$3:$C$59,2,0),"")</f>
        <v/>
      </c>
      <c r="E17" s="302">
        <f ca="1">IFERROR(IF(VLOOKUP(B17,Gießtage!$L$8:$L$98,1,0),1,0),"")</f>
        <v>1</v>
      </c>
      <c r="F17" s="251">
        <f ca="1">IF(AND(OR(AND(B17&gt;=Ferien!$C$11,B17&lt;=Ferien!$D$11),AND(B17&gt;=Ferien!$C$12,B17&lt;=Ferien!$D$12),AND(B17&gt;=Ferien!$C$13,B17&lt;=Ferien!$D$13),AND(B17&gt;=Ferien!$C$14,B17&lt;=Ferien!$D$14),AND(B17&gt;=Ferien!$C$15,B17&lt;=Ferien!$D$15),AND(B17&gt;=Ferien!$C$16,B17&lt;=Ferien!$D$16),AND(B17&gt;=Ferien!$C$17,B17&lt;=Ferien!$D$17),AND(B17&gt;=Ferien!$C$18,B17&lt;=Ferien!$D$18),AND(B17&gt;=Ferien!$C$19,B17&lt;=Ferien!$D$19),AND(B17&gt;=Ferien!$C$20,B17&lt;=Ferien!$D$20),AND(B17&gt;=Ferien!$C$21,B17&lt;=Ferien!$D$21))),1,0)</f>
        <v>0</v>
      </c>
      <c r="G17" s="250">
        <f t="shared" ca="1" si="2"/>
        <v>45336</v>
      </c>
      <c r="H17" s="573" t="s">
        <v>220</v>
      </c>
      <c r="I17" s="317" t="str">
        <f ca="1">IFERROR(VLOOKUP(G17,Mond!$B$3:$C$59,2,0),"")</f>
        <v/>
      </c>
      <c r="J17" s="302" t="str">
        <f ca="1">IFERROR(IF(VLOOKUP(G17,Gießtage!$L$8:$L$98,1,0),1,0),"")</f>
        <v/>
      </c>
      <c r="K17" s="251">
        <f ca="1">IF(AND(OR(AND(G17&gt;=Ferien!$C$11,G17&lt;=Ferien!$D$11),AND(G17&gt;=Ferien!$C$12,G17&lt;=Ferien!$D$12),AND(G17&gt;=Ferien!$C$13,G17&lt;=Ferien!$D$13),AND(G17&gt;=Ferien!$C$14,G17&lt;=Ferien!$D$14),AND(G17&gt;=Ferien!$C$15,G17&lt;=Ferien!$D$15),AND(G17&gt;=Ferien!$C$16,G17&lt;=Ferien!$D$16),AND(G17&gt;=Ferien!$C$17,G17&lt;=Ferien!$D$17),AND(G17&gt;=Ferien!$C$18,G17&lt;=Ferien!$D$18),AND(G17&gt;=Ferien!$C$19,G17&lt;=Ferien!$D$19),AND(G17&gt;=Ferien!$C$20,G17&lt;=Ferien!$D$20),AND(G17&gt;=Ferien!$C$21,G17&lt;=Ferien!$D$21))),1,0)</f>
        <v>0</v>
      </c>
      <c r="L17" s="250">
        <f t="shared" ca="1" si="3"/>
        <v>45365</v>
      </c>
      <c r="M17" s="573" t="str">
        <f t="shared" ca="1" si="4"/>
        <v/>
      </c>
      <c r="N17" s="317" t="str">
        <f ca="1">IFERROR(VLOOKUP(L17,Mond!$B$3:$C$59,2,0),"")</f>
        <v/>
      </c>
      <c r="O17" s="302" t="str">
        <f ca="1">IFERROR(IF(VLOOKUP(L17,Gießtage!$L$8:$L$98,1,0),1,0),"")</f>
        <v/>
      </c>
      <c r="P17" s="251">
        <f ca="1">IF(AND(OR(AND(L17&gt;=Ferien!$C$11,L17&lt;=Ferien!$D$11),AND(L17&gt;=Ferien!$C$12,L17&lt;=Ferien!$D$12),AND(L17&gt;=Ferien!$C$13,L17&lt;=Ferien!$D$13),AND(L17&gt;=Ferien!$C$14,L17&lt;=Ferien!$D$14),AND(L17&gt;=Ferien!$C$15,L17&lt;=Ferien!$D$15),AND(L17&gt;=Ferien!$C$16,L17&lt;=Ferien!$D$16),AND(L17&gt;=Ferien!$C$17,L17&lt;=Ferien!$D$17),AND(L17&gt;=Ferien!$C$18,L17&lt;=Ferien!$D$18),AND(L17&gt;=Ferien!$C$19,L17&lt;=Ferien!$D$19),AND(L17&gt;=Ferien!$C$20,L17&lt;=Ferien!$D$20),AND(L17&gt;=Ferien!$C$21,L17&lt;=Ferien!$D$21))),1,0)</f>
        <v>0</v>
      </c>
      <c r="Q17" s="250">
        <f t="shared" ca="1" si="5"/>
        <v>45396</v>
      </c>
      <c r="R17" s="573" t="str">
        <f t="shared" ca="1" si="6"/>
        <v>{</v>
      </c>
      <c r="S17" s="317" t="str">
        <f ca="1">IFERROR(VLOOKUP(Q17,Mond!$B$3:$C$59,2,0),"")</f>
        <v/>
      </c>
      <c r="T17" s="302">
        <f ca="1">IFERROR(IF(VLOOKUP(Q17,Gießtage!$L$8:$L$98,1,0),1,0),"")</f>
        <v>1</v>
      </c>
      <c r="U17" s="251">
        <f ca="1">IF(AND(OR(AND(Q17&gt;=Ferien!$C$11,Q17&lt;=Ferien!$D$11),AND(Q17&gt;=Ferien!$C$12,Q17&lt;=Ferien!$D$12),AND(Q17&gt;=Ferien!$C$13,Q17&lt;=Ferien!$D$13),AND(Q17&gt;=Ferien!$C$14,Q17&lt;=Ferien!$D$14),AND(Q17&gt;=Ferien!$C$15,Q17&lt;=Ferien!$D$15),AND(Q17&gt;=Ferien!$C$16,Q17&lt;=Ferien!$D$16),AND(Q17&gt;=Ferien!$C$17,Q17&lt;=Ferien!$D$17),AND(Q17&gt;=Ferien!$C$18,Q17&lt;=Ferien!$D$18),AND(Q17&gt;=Ferien!$C$19,Q17&lt;=Ferien!$D$19),AND(Q17&gt;=Ferien!$C$20,Q17&lt;=Ferien!$D$20),AND(Q17&gt;=Ferien!$C$21,Q17&lt;=Ferien!$D$21))),1,0)</f>
        <v>0</v>
      </c>
      <c r="V17" s="250">
        <f t="shared" ca="1" si="7"/>
        <v>45426</v>
      </c>
      <c r="W17" s="573" t="str">
        <f t="shared" ca="1" si="8"/>
        <v/>
      </c>
      <c r="X17" s="317" t="str">
        <f ca="1">IFERROR(VLOOKUP(V17,Mond!$B$3:$C$59,2,0),"")</f>
        <v/>
      </c>
      <c r="Y17" s="302" t="str">
        <f ca="1">IFERROR(IF(VLOOKUP(V17,Gießtage!$L$8:$L$98,1,0),1,0),"")</f>
        <v/>
      </c>
      <c r="Z17" s="251">
        <f ca="1">IF(AND(OR(AND(V17&gt;=Ferien!$C$11,V17&lt;=Ferien!$D$11),AND(V17&gt;=Ferien!$C$12,V17&lt;=Ferien!$D$12),AND(V17&gt;=Ferien!$C$13,V17&lt;=Ferien!$D$13),AND(V17&gt;=Ferien!$C$14,V17&lt;=Ferien!$D$14),AND(V17&gt;=Ferien!$C$15,V17&lt;=Ferien!$D$15),AND(V17&gt;=Ferien!$C$16,V17&lt;=Ferien!$D$16),AND(V17&gt;=Ferien!$C$17,V17&lt;=Ferien!$D$17),AND(V17&gt;=Ferien!$C$18,V17&lt;=Ferien!$D$18),AND(V17&gt;=Ferien!$C$19,V17&lt;=Ferien!$D$19),AND(V17&gt;=Ferien!$C$20,V17&lt;=Ferien!$D$20),AND(V17&gt;=Ferien!$C$21,V17&lt;=Ferien!$D$21))),1,0)</f>
        <v>0</v>
      </c>
      <c r="AA17" s="250">
        <f t="shared" ca="1" si="9"/>
        <v>45457</v>
      </c>
      <c r="AB17" s="573" t="str">
        <f t="shared" ca="1" si="10"/>
        <v/>
      </c>
      <c r="AC17" s="317" t="str">
        <f ca="1">IFERROR(VLOOKUP(AA17,Mond!$B$3:$C$59,2,0),"")</f>
        <v>G</v>
      </c>
      <c r="AD17" s="302" t="str">
        <f ca="1">IFERROR(IF(VLOOKUP(AA17,Gießtage!$L$8:$L$98,1,0),1,0),"")</f>
        <v/>
      </c>
      <c r="AE17" s="251">
        <f ca="1">IF(AND(OR(AND(AA17&gt;=Ferien!$C$11,AA17&lt;=Ferien!$D$11),AND(AA17&gt;=Ferien!$C$12,AA17&lt;=Ferien!$D$12),AND(AA17&gt;=Ferien!$C$13,AA17&lt;=Ferien!$D$13),AND(AA17&gt;=Ferien!$C$14,AA17&lt;=Ferien!$D$14),AND(AA17&gt;=Ferien!$C$15,AA17&lt;=Ferien!$D$15),AND(AA17&gt;=Ferien!$C$16,AA17&lt;=Ferien!$D$16),AND(AA17&gt;=Ferien!$C$17,AA17&lt;=Ferien!$D$17),AND(AA17&gt;=Ferien!$C$18,AA17&lt;=Ferien!$D$18),AND(AA17&gt;=Ferien!$C$19,AA17&lt;=Ferien!$D$19),AND(AA17&gt;=Ferien!$C$20,AA17&lt;=Ferien!$D$20),AND(AA17&gt;=Ferien!$C$21,AA17&lt;=Ferien!$D$21))),1,0)</f>
        <v>0</v>
      </c>
      <c r="AF17" s="250">
        <f t="shared" ca="1" si="11"/>
        <v>45487</v>
      </c>
      <c r="AG17" s="573" t="str">
        <f t="shared" ca="1" si="12"/>
        <v/>
      </c>
      <c r="AH17" s="317" t="str">
        <f ca="1">IFERROR(VLOOKUP(AF17,Mond!$B$3:$C$59,2,0),"")</f>
        <v/>
      </c>
      <c r="AI17" s="302" t="str">
        <f ca="1">IFERROR(IF(VLOOKUP(AF17,Gießtage!$L$8:$L$98,1,0),1,0),"")</f>
        <v/>
      </c>
      <c r="AJ17" s="251">
        <f ca="1">IF(AND(OR(AND(AF17&gt;=Ferien!$C$11,AF17&lt;=Ferien!$D$11),AND(AF17&gt;=Ferien!$C$12,AF17&lt;=Ferien!$D$12),AND(AF17&gt;=Ferien!$C$13,AF17&lt;=Ferien!$D$13),AND(AF17&gt;=Ferien!$C$14,AF17&lt;=Ferien!$D$14),AND(AF17&gt;=Ferien!$C$15,AF17&lt;=Ferien!$D$15),AND(AF17&gt;=Ferien!$C$16,AF17&lt;=Ferien!$D$16),AND(AF17&gt;=Ferien!$C$17,AF17&lt;=Ferien!$D$17),AND(AF17&gt;=Ferien!$C$18,AF17&lt;=Ferien!$D$18),AND(AF17&gt;=Ferien!$C$19,AF17&lt;=Ferien!$D$19),AND(AF17&gt;=Ferien!$C$20,AF17&lt;=Ferien!$D$20),AND(AF17&gt;=Ferien!$C$21,AF17&lt;=Ferien!$D$21))),1,0)</f>
        <v>0</v>
      </c>
      <c r="AK17" s="250">
        <f t="shared" ca="1" si="13"/>
        <v>45518</v>
      </c>
      <c r="AL17" s="573" t="str">
        <f t="shared" ca="1" si="14"/>
        <v/>
      </c>
      <c r="AM17" s="317" t="str">
        <f ca="1">IFERROR(VLOOKUP(AK17,Mond!$B$3:$C$59,2,0),"")</f>
        <v/>
      </c>
      <c r="AN17" s="302" t="str">
        <f ca="1">IFERROR(IF(VLOOKUP(AK17,Gießtage!$L$8:$L$98,1,0),1,0),"")</f>
        <v/>
      </c>
      <c r="AO17" s="251">
        <f ca="1">IF(AND(OR(AND(AK17&gt;=Ferien!$C$11,AK17&lt;=Ferien!$D$11),AND(AK17&gt;=Ferien!$C$12,AK17&lt;=Ferien!$D$12),AND(AK17&gt;=Ferien!$C$13,AK17&lt;=Ferien!$D$13),AND(AK17&gt;=Ferien!$C$14,AK17&lt;=Ferien!$D$14),AND(AK17&gt;=Ferien!$C$15,AK17&lt;=Ferien!$D$15),AND(AK17&gt;=Ferien!$C$16,AK17&lt;=Ferien!$D$16),AND(AK17&gt;=Ferien!$C$17,AK17&lt;=Ferien!$D$17),AND(AK17&gt;=Ferien!$C$18,AK17&lt;=Ferien!$D$18),AND(AK17&gt;=Ferien!$C$19,AK17&lt;=Ferien!$D$19),AND(AK17&gt;=Ferien!$C$20,AK17&lt;=Ferien!$D$20),AND(AK17&gt;=Ferien!$C$21,AK17&lt;=Ferien!$D$21))),1,0)</f>
        <v>1</v>
      </c>
      <c r="AP17" s="250">
        <f t="shared" ca="1" si="15"/>
        <v>45549</v>
      </c>
      <c r="AQ17" s="573" t="str">
        <f t="shared" ca="1" si="16"/>
        <v/>
      </c>
      <c r="AR17" s="317" t="str">
        <f ca="1">IFERROR(VLOOKUP(AP17,Mond!$B$3:$C$59,2,0),"")</f>
        <v/>
      </c>
      <c r="AS17" s="302" t="str">
        <f ca="1">IFERROR(IF(VLOOKUP(AP17,Gießtage!$L$8:$L$98,1,0),1,0),"")</f>
        <v/>
      </c>
      <c r="AT17" s="251">
        <f ca="1">IF(AND(OR(AND(AP17&gt;=Ferien!$C$11,AP17&lt;=Ferien!$D$11),AND(AP17&gt;=Ferien!$C$12,AP17&lt;=Ferien!$D$12),AND(AP17&gt;=Ferien!$C$13,AP17&lt;=Ferien!$D$13),AND(AP17&gt;=Ferien!$C$14,AP17&lt;=Ferien!$D$14),AND(AP17&gt;=Ferien!$C$15,AP17&lt;=Ferien!$D$15),AND(AP17&gt;=Ferien!$C$16,AP17&lt;=Ferien!$D$16),AND(AP17&gt;=Ferien!$C$17,AP17&lt;=Ferien!$D$17),AND(AP17&gt;=Ferien!$C$18,AP17&lt;=Ferien!$D$18),AND(AP17&gt;=Ferien!$C$19,AP17&lt;=Ferien!$D$19),AND(AP17&gt;=Ferien!$C$20,AP17&lt;=Ferien!$D$20),AND(AP17&gt;=Ferien!$C$21,AP17&lt;=Ferien!$D$21))),1,0)</f>
        <v>0</v>
      </c>
      <c r="AU17" s="250">
        <f t="shared" ca="1" si="17"/>
        <v>45579</v>
      </c>
      <c r="AV17" s="573" t="str">
        <f t="shared" ca="1" si="18"/>
        <v>{</v>
      </c>
      <c r="AW17" s="317" t="str">
        <f ca="1">IFERROR(VLOOKUP(AU17,Mond!$B$3:$C$59,2,0),"")</f>
        <v/>
      </c>
      <c r="AX17" s="302">
        <f ca="1">IFERROR(IF(VLOOKUP(AU17,Gießtage!$L$8:$L$98,1,0),1,0),"")</f>
        <v>1</v>
      </c>
      <c r="AY17" s="251">
        <f ca="1">IF(AND(OR(AND(AU17&gt;=Ferien!$C$11,AU17&lt;=Ferien!$D$11),AND(AU17&gt;=Ferien!$C$12,AU17&lt;=Ferien!$D$12),AND(AU17&gt;=Ferien!$C$13,AU17&lt;=Ferien!$D$13),AND(AU17&gt;=Ferien!$C$14,AU17&lt;=Ferien!$D$14),AND(AU17&gt;=Ferien!$C$15,AU17&lt;=Ferien!$D$15),AND(AU17&gt;=Ferien!$C$16,AU17&lt;=Ferien!$D$16),AND(AU17&gt;=Ferien!$C$17,AU17&lt;=Ferien!$D$17),AND(AU17&gt;=Ferien!$C$18,AU17&lt;=Ferien!$D$18),AND(AU17&gt;=Ferien!$C$19,AU17&lt;=Ferien!$D$19),AND(AU17&gt;=Ferien!$C$20,AU17&lt;=Ferien!$D$20),AND(AU17&gt;=Ferien!$C$21,AU17&lt;=Ferien!$D$21))),1,0)</f>
        <v>0</v>
      </c>
      <c r="AZ17" s="250">
        <f t="shared" ca="1" si="19"/>
        <v>45610</v>
      </c>
      <c r="BA17" s="573" t="str">
        <f t="shared" ca="1" si="20"/>
        <v/>
      </c>
      <c r="BB17" s="317" t="str">
        <f ca="1">IFERROR(VLOOKUP(AZ17,Mond!$B$3:$C$59,2,0),"")</f>
        <v/>
      </c>
      <c r="BC17" s="302" t="str">
        <f ca="1">IFERROR(IF(VLOOKUP(AZ17,Gießtage!$L$8:$L$98,1,0),1,0),"")</f>
        <v/>
      </c>
      <c r="BD17" s="251">
        <f ca="1">IF(AND(OR(AND(AZ17&gt;=Ferien!$C$11,AZ17&lt;=Ferien!$D$11),AND(AZ17&gt;=Ferien!$C$12,AZ17&lt;=Ferien!$D$12),AND(AZ17&gt;=Ferien!$C$13,AZ17&lt;=Ferien!$D$13),AND(AZ17&gt;=Ferien!$C$14,AZ17&lt;=Ferien!$D$14),AND(AZ17&gt;=Ferien!$C$15,AZ17&lt;=Ferien!$D$15),AND(AZ17&gt;=Ferien!$C$16,AZ17&lt;=Ferien!$D$16),AND(AZ17&gt;=Ferien!$C$17,AZ17&lt;=Ferien!$D$17),AND(AZ17&gt;=Ferien!$C$18,AZ17&lt;=Ferien!$D$18),AND(AZ17&gt;=Ferien!$C$19,AZ17&lt;=Ferien!$D$19),AND(AZ17&gt;=Ferien!$C$20,AZ17&lt;=Ferien!$D$20),AND(AZ17&gt;=Ferien!$C$21,AZ17&lt;=Ferien!$D$21))),1,0)</f>
        <v>0</v>
      </c>
      <c r="BE17" s="250">
        <f t="shared" ca="1" si="21"/>
        <v>45640</v>
      </c>
      <c r="BF17" s="573" t="str">
        <f t="shared" ca="1" si="22"/>
        <v/>
      </c>
      <c r="BG17" s="317" t="str">
        <f ca="1">IFERROR(VLOOKUP(BE17,Mond!$B$3:$C$59,2,0),"")</f>
        <v/>
      </c>
      <c r="BH17" s="302" t="str">
        <f ca="1">IFERROR(IF(VLOOKUP(BE17,Gießtage!$L$8:$L$98,1,0),1,0),"")</f>
        <v/>
      </c>
      <c r="BI17" s="252">
        <f ca="1">IF(AND(OR(AND(BE17&gt;=Ferien!$C$11,BE17&lt;=Ferien!$D$11),AND(BE17&gt;=Ferien!$C$12,BE17&lt;=Ferien!$D$12),AND(BE17&gt;=Ferien!$C$13,BE17&lt;=Ferien!$D$13),AND(BE17&gt;=Ferien!$C$14,BE17&lt;=Ferien!$D$14),AND(BE17&gt;=Ferien!$C$15,BE17&lt;=Ferien!$D$15),AND(BE17&gt;=Ferien!$C$16,BE17&lt;=Ferien!$D$16),AND(BE17&gt;=Ferien!$C$17,BE17&lt;=Ferien!$D$17),AND(BE17&gt;=Ferien!$C$18,BE17&lt;=Ferien!$D$18),AND(BE17&gt;=Ferien!$C$19,BE17&lt;=Ferien!$D$19),AND(BE17&gt;=Ferien!$C$20,BE17&lt;=Ferien!$D$20),AND(BE17&gt;=Ferien!$C$21,BE17&lt;=Ferien!$D$21))),1,0)</f>
        <v>0</v>
      </c>
      <c r="BJ17" s="811" t="str">
        <f ca="1">IF(BL17="","",Feiertage!C10)</f>
        <v>Fronleichnam (BY)</v>
      </c>
      <c r="BK17" s="812"/>
      <c r="BL17" s="338">
        <f ca="1">Feiertage!B10</f>
        <v>45442</v>
      </c>
      <c r="BM17" s="304">
        <f t="shared" ca="1" si="30"/>
        <v>45442</v>
      </c>
      <c r="BN17" s="314">
        <f t="shared" ca="1" si="31"/>
        <v>45443</v>
      </c>
      <c r="BO17" s="315">
        <f t="shared" ca="1" si="32"/>
        <v>45443</v>
      </c>
      <c r="BP17" s="253">
        <f t="shared" ca="1" si="33"/>
        <v>1</v>
      </c>
      <c r="BQ17" s="236">
        <v>0</v>
      </c>
      <c r="BR17" s="235">
        <f t="shared" ca="1" si="34"/>
        <v>0</v>
      </c>
      <c r="BS17" s="235">
        <f t="shared" ca="1" si="35"/>
        <v>0</v>
      </c>
      <c r="BT17" s="238"/>
      <c r="BU17" s="238"/>
      <c r="BV17" s="238"/>
    </row>
    <row r="18" spans="2:77" ht="19.5" customHeight="1" thickBot="1">
      <c r="B18" s="250">
        <f t="shared" ca="1" si="0"/>
        <v>45306</v>
      </c>
      <c r="C18" s="573" t="str">
        <f t="shared" ca="1" si="1"/>
        <v>{</v>
      </c>
      <c r="D18" s="317" t="str">
        <f ca="1">IFERROR(VLOOKUP(B18,Mond!$B$3:$C$59,2,0),"")</f>
        <v/>
      </c>
      <c r="E18" s="302">
        <f ca="1">IFERROR(IF(VLOOKUP(B18,Gießtage!$L$8:$L$98,1,0),1,0),"")</f>
        <v>1</v>
      </c>
      <c r="F18" s="251">
        <f ca="1">IF(AND(OR(AND(B18&gt;=Ferien!$C$11,B18&lt;=Ferien!$D$11),AND(B18&gt;=Ferien!$C$12,B18&lt;=Ferien!$D$12),AND(B18&gt;=Ferien!$C$13,B18&lt;=Ferien!$D$13),AND(B18&gt;=Ferien!$C$14,B18&lt;=Ferien!$D$14),AND(B18&gt;=Ferien!$C$15,B18&lt;=Ferien!$D$15),AND(B18&gt;=Ferien!$C$16,B18&lt;=Ferien!$D$16),AND(B18&gt;=Ferien!$C$17,B18&lt;=Ferien!$D$17),AND(B18&gt;=Ferien!$C$18,B18&lt;=Ferien!$D$18),AND(B18&gt;=Ferien!$C$19,B18&lt;=Ferien!$D$19),AND(B18&gt;=Ferien!$C$20,B18&lt;=Ferien!$D$20),AND(B18&gt;=Ferien!$C$21,B18&lt;=Ferien!$D$21))),1,0)</f>
        <v>0</v>
      </c>
      <c r="G18" s="250">
        <f t="shared" ca="1" si="2"/>
        <v>45337</v>
      </c>
      <c r="H18" s="573" t="s">
        <v>220</v>
      </c>
      <c r="I18" s="317" t="str">
        <f ca="1">IFERROR(VLOOKUP(G18,Mond!$B$3:$C$59,2,0),"")</f>
        <v/>
      </c>
      <c r="J18" s="302" t="str">
        <f ca="1">IFERROR(IF(VLOOKUP(G18,Gießtage!$L$8:$L$98,1,0),1,0),"")</f>
        <v/>
      </c>
      <c r="K18" s="251">
        <f ca="1">IF(AND(OR(AND(G18&gt;=Ferien!$C$11,G18&lt;=Ferien!$D$11),AND(G18&gt;=Ferien!$C$12,G18&lt;=Ferien!$D$12),AND(G18&gt;=Ferien!$C$13,G18&lt;=Ferien!$D$13),AND(G18&gt;=Ferien!$C$14,G18&lt;=Ferien!$D$14),AND(G18&gt;=Ferien!$C$15,G18&lt;=Ferien!$D$15),AND(G18&gt;=Ferien!$C$16,G18&lt;=Ferien!$D$16),AND(G18&gt;=Ferien!$C$17,G18&lt;=Ferien!$D$17),AND(G18&gt;=Ferien!$C$18,G18&lt;=Ferien!$D$18),AND(G18&gt;=Ferien!$C$19,G18&lt;=Ferien!$D$19),AND(G18&gt;=Ferien!$C$20,G18&lt;=Ferien!$D$20),AND(G18&gt;=Ferien!$C$21,G18&lt;=Ferien!$D$21))),1,0)</f>
        <v>0</v>
      </c>
      <c r="L18" s="250">
        <f t="shared" ca="1" si="3"/>
        <v>45366</v>
      </c>
      <c r="M18" s="573" t="str">
        <f t="shared" ca="1" si="4"/>
        <v/>
      </c>
      <c r="N18" s="317" t="str">
        <f ca="1">IFERROR(VLOOKUP(L18,Mond!$B$3:$C$59,2,0),"")</f>
        <v/>
      </c>
      <c r="O18" s="302" t="str">
        <f ca="1">IFERROR(IF(VLOOKUP(L18,Gießtage!$L$8:$L$98,1,0),1,0),"")</f>
        <v/>
      </c>
      <c r="P18" s="251">
        <f ca="1">IF(AND(OR(AND(L18&gt;=Ferien!$C$11,L18&lt;=Ferien!$D$11),AND(L18&gt;=Ferien!$C$12,L18&lt;=Ferien!$D$12),AND(L18&gt;=Ferien!$C$13,L18&lt;=Ferien!$D$13),AND(L18&gt;=Ferien!$C$14,L18&lt;=Ferien!$D$14),AND(L18&gt;=Ferien!$C$15,L18&lt;=Ferien!$D$15),AND(L18&gt;=Ferien!$C$16,L18&lt;=Ferien!$D$16),AND(L18&gt;=Ferien!$C$17,L18&lt;=Ferien!$D$17),AND(L18&gt;=Ferien!$C$18,L18&lt;=Ferien!$D$18),AND(L18&gt;=Ferien!$C$19,L18&lt;=Ferien!$D$19),AND(L18&gt;=Ferien!$C$20,L18&lt;=Ferien!$D$20),AND(L18&gt;=Ferien!$C$21,L18&lt;=Ferien!$D$21))),1,0)</f>
        <v>0</v>
      </c>
      <c r="Q18" s="250">
        <f t="shared" ca="1" si="5"/>
        <v>45397</v>
      </c>
      <c r="R18" s="573" t="str">
        <f t="shared" ca="1" si="6"/>
        <v>{</v>
      </c>
      <c r="S18" s="317" t="str">
        <f ca="1">IFERROR(VLOOKUP(Q18,Mond!$B$3:$C$59,2,0),"")</f>
        <v>G</v>
      </c>
      <c r="T18" s="302">
        <f ca="1">IFERROR(IF(VLOOKUP(Q18,Gießtage!$L$8:$L$98,1,0),1,0),"")</f>
        <v>1</v>
      </c>
      <c r="U18" s="251">
        <f ca="1">IF(AND(OR(AND(Q18&gt;=Ferien!$C$11,Q18&lt;=Ferien!$D$11),AND(Q18&gt;=Ferien!$C$12,Q18&lt;=Ferien!$D$12),AND(Q18&gt;=Ferien!$C$13,Q18&lt;=Ferien!$D$13),AND(Q18&gt;=Ferien!$C$14,Q18&lt;=Ferien!$D$14),AND(Q18&gt;=Ferien!$C$15,Q18&lt;=Ferien!$D$15),AND(Q18&gt;=Ferien!$C$16,Q18&lt;=Ferien!$D$16),AND(Q18&gt;=Ferien!$C$17,Q18&lt;=Ferien!$D$17),AND(Q18&gt;=Ferien!$C$18,Q18&lt;=Ferien!$D$18),AND(Q18&gt;=Ferien!$C$19,Q18&lt;=Ferien!$D$19),AND(Q18&gt;=Ferien!$C$20,Q18&lt;=Ferien!$D$20),AND(Q18&gt;=Ferien!$C$21,Q18&lt;=Ferien!$D$21))),1,0)</f>
        <v>0</v>
      </c>
      <c r="V18" s="250">
        <f t="shared" ca="1" si="7"/>
        <v>45427</v>
      </c>
      <c r="W18" s="573" t="str">
        <f t="shared" ca="1" si="8"/>
        <v/>
      </c>
      <c r="X18" s="317" t="str">
        <f ca="1">IFERROR(VLOOKUP(V18,Mond!$B$3:$C$59,2,0),"")</f>
        <v>G</v>
      </c>
      <c r="Y18" s="302" t="str">
        <f ca="1">IFERROR(IF(VLOOKUP(V18,Gießtage!$L$8:$L$98,1,0),1,0),"")</f>
        <v/>
      </c>
      <c r="Z18" s="251">
        <f ca="1">IF(AND(OR(AND(V18&gt;=Ferien!$C$11,V18&lt;=Ferien!$D$11),AND(V18&gt;=Ferien!$C$12,V18&lt;=Ferien!$D$12),AND(V18&gt;=Ferien!$C$13,V18&lt;=Ferien!$D$13),AND(V18&gt;=Ferien!$C$14,V18&lt;=Ferien!$D$14),AND(V18&gt;=Ferien!$C$15,V18&lt;=Ferien!$D$15),AND(V18&gt;=Ferien!$C$16,V18&lt;=Ferien!$D$16),AND(V18&gt;=Ferien!$C$17,V18&lt;=Ferien!$D$17),AND(V18&gt;=Ferien!$C$18,V18&lt;=Ferien!$D$18),AND(V18&gt;=Ferien!$C$19,V18&lt;=Ferien!$D$19),AND(V18&gt;=Ferien!$C$20,V18&lt;=Ferien!$D$20),AND(V18&gt;=Ferien!$C$21,V18&lt;=Ferien!$D$21))),1,0)</f>
        <v>0</v>
      </c>
      <c r="AA18" s="250">
        <f t="shared" ca="1" si="9"/>
        <v>45458</v>
      </c>
      <c r="AB18" s="573" t="str">
        <f t="shared" ca="1" si="10"/>
        <v/>
      </c>
      <c r="AC18" s="317" t="str">
        <f ca="1">IFERROR(VLOOKUP(AA18,Mond!$B$3:$C$59,2,0),"")</f>
        <v/>
      </c>
      <c r="AD18" s="302" t="str">
        <f ca="1">IFERROR(IF(VLOOKUP(AA18,Gießtage!$L$8:$L$98,1,0),1,0),"")</f>
        <v/>
      </c>
      <c r="AE18" s="251">
        <f ca="1">IF(AND(OR(AND(AA18&gt;=Ferien!$C$11,AA18&lt;=Ferien!$D$11),AND(AA18&gt;=Ferien!$C$12,AA18&lt;=Ferien!$D$12),AND(AA18&gt;=Ferien!$C$13,AA18&lt;=Ferien!$D$13),AND(AA18&gt;=Ferien!$C$14,AA18&lt;=Ferien!$D$14),AND(AA18&gt;=Ferien!$C$15,AA18&lt;=Ferien!$D$15),AND(AA18&gt;=Ferien!$C$16,AA18&lt;=Ferien!$D$16),AND(AA18&gt;=Ferien!$C$17,AA18&lt;=Ferien!$D$17),AND(AA18&gt;=Ferien!$C$18,AA18&lt;=Ferien!$D$18),AND(AA18&gt;=Ferien!$C$19,AA18&lt;=Ferien!$D$19),AND(AA18&gt;=Ferien!$C$20,AA18&lt;=Ferien!$D$20),AND(AA18&gt;=Ferien!$C$21,AA18&lt;=Ferien!$D$21))),1,0)</f>
        <v>0</v>
      </c>
      <c r="AF18" s="250">
        <f t="shared" ca="1" si="11"/>
        <v>45488</v>
      </c>
      <c r="AG18" s="573" t="str">
        <f t="shared" ca="1" si="12"/>
        <v>{</v>
      </c>
      <c r="AH18" s="317" t="str">
        <f ca="1">IFERROR(VLOOKUP(AF18,Mond!$B$3:$C$59,2,0),"")</f>
        <v/>
      </c>
      <c r="AI18" s="302">
        <f ca="1">IFERROR(IF(VLOOKUP(AF18,Gießtage!$L$8:$L$98,1,0),1,0),"")</f>
        <v>1</v>
      </c>
      <c r="AJ18" s="251">
        <f ca="1">IF(AND(OR(AND(AF18&gt;=Ferien!$C$11,AF18&lt;=Ferien!$D$11),AND(AF18&gt;=Ferien!$C$12,AF18&lt;=Ferien!$D$12),AND(AF18&gt;=Ferien!$C$13,AF18&lt;=Ferien!$D$13),AND(AF18&gt;=Ferien!$C$14,AF18&lt;=Ferien!$D$14),AND(AF18&gt;=Ferien!$C$15,AF18&lt;=Ferien!$D$15),AND(AF18&gt;=Ferien!$C$16,AF18&lt;=Ferien!$D$16),AND(AF18&gt;=Ferien!$C$17,AF18&lt;=Ferien!$D$17),AND(AF18&gt;=Ferien!$C$18,AF18&lt;=Ferien!$D$18),AND(AF18&gt;=Ferien!$C$19,AF18&lt;=Ferien!$D$19),AND(AF18&gt;=Ferien!$C$20,AF18&lt;=Ferien!$D$20),AND(AF18&gt;=Ferien!$C$21,AF18&lt;=Ferien!$D$21))),1,0)</f>
        <v>0</v>
      </c>
      <c r="AK18" s="250">
        <f t="shared" ca="1" si="13"/>
        <v>45519</v>
      </c>
      <c r="AL18" s="573" t="str">
        <f t="shared" ca="1" si="14"/>
        <v/>
      </c>
      <c r="AM18" s="317" t="str">
        <f ca="1">IFERROR(VLOOKUP(AK18,Mond!$B$3:$C$59,2,0),"")</f>
        <v/>
      </c>
      <c r="AN18" s="302" t="str">
        <f ca="1">IFERROR(IF(VLOOKUP(AK18,Gießtage!$L$8:$L$98,1,0),1,0),"")</f>
        <v/>
      </c>
      <c r="AO18" s="251">
        <f ca="1">IF(AND(OR(AND(AK18&gt;=Ferien!$C$11,AK18&lt;=Ferien!$D$11),AND(AK18&gt;=Ferien!$C$12,AK18&lt;=Ferien!$D$12),AND(AK18&gt;=Ferien!$C$13,AK18&lt;=Ferien!$D$13),AND(AK18&gt;=Ferien!$C$14,AK18&lt;=Ferien!$D$14),AND(AK18&gt;=Ferien!$C$15,AK18&lt;=Ferien!$D$15),AND(AK18&gt;=Ferien!$C$16,AK18&lt;=Ferien!$D$16),AND(AK18&gt;=Ferien!$C$17,AK18&lt;=Ferien!$D$17),AND(AK18&gt;=Ferien!$C$18,AK18&lt;=Ferien!$D$18),AND(AK18&gt;=Ferien!$C$19,AK18&lt;=Ferien!$D$19),AND(AK18&gt;=Ferien!$C$20,AK18&lt;=Ferien!$D$20),AND(AK18&gt;=Ferien!$C$21,AK18&lt;=Ferien!$D$21))),1,0)</f>
        <v>1</v>
      </c>
      <c r="AP18" s="250">
        <f t="shared" ca="1" si="15"/>
        <v>45550</v>
      </c>
      <c r="AQ18" s="573" t="str">
        <f t="shared" ca="1" si="16"/>
        <v/>
      </c>
      <c r="AR18" s="317" t="str">
        <f ca="1">IFERROR(VLOOKUP(AP18,Mond!$B$3:$C$59,2,0),"")</f>
        <v/>
      </c>
      <c r="AS18" s="302" t="str">
        <f ca="1">IFERROR(IF(VLOOKUP(AP18,Gießtage!$L$8:$L$98,1,0),1,0),"")</f>
        <v/>
      </c>
      <c r="AT18" s="251">
        <f ca="1">IF(AND(OR(AND(AP18&gt;=Ferien!$C$11,AP18&lt;=Ferien!$D$11),AND(AP18&gt;=Ferien!$C$12,AP18&lt;=Ferien!$D$12),AND(AP18&gt;=Ferien!$C$13,AP18&lt;=Ferien!$D$13),AND(AP18&gt;=Ferien!$C$14,AP18&lt;=Ferien!$D$14),AND(AP18&gt;=Ferien!$C$15,AP18&lt;=Ferien!$D$15),AND(AP18&gt;=Ferien!$C$16,AP18&lt;=Ferien!$D$16),AND(AP18&gt;=Ferien!$C$17,AP18&lt;=Ferien!$D$17),AND(AP18&gt;=Ferien!$C$18,AP18&lt;=Ferien!$D$18),AND(AP18&gt;=Ferien!$C$19,AP18&lt;=Ferien!$D$19),AND(AP18&gt;=Ferien!$C$20,AP18&lt;=Ferien!$D$20),AND(AP18&gt;=Ferien!$C$21,AP18&lt;=Ferien!$D$21))),1,0)</f>
        <v>0</v>
      </c>
      <c r="AU18" s="250">
        <f t="shared" ca="1" si="17"/>
        <v>45580</v>
      </c>
      <c r="AV18" s="573" t="str">
        <f t="shared" ca="1" si="18"/>
        <v>{</v>
      </c>
      <c r="AW18" s="317" t="str">
        <f ca="1">IFERROR(VLOOKUP(AU18,Mond!$B$3:$C$59,2,0),"")</f>
        <v/>
      </c>
      <c r="AX18" s="302">
        <f ca="1">IFERROR(IF(VLOOKUP(AU18,Gießtage!$L$8:$L$98,1,0),1,0),"")</f>
        <v>1</v>
      </c>
      <c r="AY18" s="251">
        <f ca="1">IF(AND(OR(AND(AU18&gt;=Ferien!$C$11,AU18&lt;=Ferien!$D$11),AND(AU18&gt;=Ferien!$C$12,AU18&lt;=Ferien!$D$12),AND(AU18&gt;=Ferien!$C$13,AU18&lt;=Ferien!$D$13),AND(AU18&gt;=Ferien!$C$14,AU18&lt;=Ferien!$D$14),AND(AU18&gt;=Ferien!$C$15,AU18&lt;=Ferien!$D$15),AND(AU18&gt;=Ferien!$C$16,AU18&lt;=Ferien!$D$16),AND(AU18&gt;=Ferien!$C$17,AU18&lt;=Ferien!$D$17),AND(AU18&gt;=Ferien!$C$18,AU18&lt;=Ferien!$D$18),AND(AU18&gt;=Ferien!$C$19,AU18&lt;=Ferien!$D$19),AND(AU18&gt;=Ferien!$C$20,AU18&lt;=Ferien!$D$20),AND(AU18&gt;=Ferien!$C$21,AU18&lt;=Ferien!$D$21))),1,0)</f>
        <v>0</v>
      </c>
      <c r="AZ18" s="250">
        <f t="shared" ca="1" si="19"/>
        <v>45611</v>
      </c>
      <c r="BA18" s="573" t="str">
        <f t="shared" ca="1" si="20"/>
        <v/>
      </c>
      <c r="BB18" s="317" t="str">
        <f ca="1">IFERROR(VLOOKUP(AZ18,Mond!$B$3:$C$59,2,0),"")</f>
        <v>@</v>
      </c>
      <c r="BC18" s="302" t="str">
        <f ca="1">IFERROR(IF(VLOOKUP(AZ18,Gießtage!$L$8:$L$98,1,0),1,0),"")</f>
        <v/>
      </c>
      <c r="BD18" s="251">
        <f ca="1">IF(AND(OR(AND(AZ18&gt;=Ferien!$C$11,AZ18&lt;=Ferien!$D$11),AND(AZ18&gt;=Ferien!$C$12,AZ18&lt;=Ferien!$D$12),AND(AZ18&gt;=Ferien!$C$13,AZ18&lt;=Ferien!$D$13),AND(AZ18&gt;=Ferien!$C$14,AZ18&lt;=Ferien!$D$14),AND(AZ18&gt;=Ferien!$C$15,AZ18&lt;=Ferien!$D$15),AND(AZ18&gt;=Ferien!$C$16,AZ18&lt;=Ferien!$D$16),AND(AZ18&gt;=Ferien!$C$17,AZ18&lt;=Ferien!$D$17),AND(AZ18&gt;=Ferien!$C$18,AZ18&lt;=Ferien!$D$18),AND(AZ18&gt;=Ferien!$C$19,AZ18&lt;=Ferien!$D$19),AND(AZ18&gt;=Ferien!$C$20,AZ18&lt;=Ferien!$D$20),AND(AZ18&gt;=Ferien!$C$21,AZ18&lt;=Ferien!$D$21))),1,0)</f>
        <v>0</v>
      </c>
      <c r="BE18" s="250">
        <f t="shared" ca="1" si="21"/>
        <v>45641</v>
      </c>
      <c r="BF18" s="573" t="str">
        <f t="shared" ca="1" si="22"/>
        <v/>
      </c>
      <c r="BG18" s="317" t="str">
        <f ca="1">IFERROR(VLOOKUP(BE18,Mond!$B$3:$C$59,2,0),"")</f>
        <v>@</v>
      </c>
      <c r="BH18" s="302" t="str">
        <f ca="1">IFERROR(IF(VLOOKUP(BE18,Gießtage!$L$8:$L$98,1,0),1,0),"")</f>
        <v/>
      </c>
      <c r="BI18" s="252">
        <f ca="1">IF(AND(OR(AND(BE18&gt;=Ferien!$C$11,BE18&lt;=Ferien!$D$11),AND(BE18&gt;=Ferien!$C$12,BE18&lt;=Ferien!$D$12),AND(BE18&gt;=Ferien!$C$13,BE18&lt;=Ferien!$D$13),AND(BE18&gt;=Ferien!$C$14,BE18&lt;=Ferien!$D$14),AND(BE18&gt;=Ferien!$C$15,BE18&lt;=Ferien!$D$15),AND(BE18&gt;=Ferien!$C$16,BE18&lt;=Ferien!$D$16),AND(BE18&gt;=Ferien!$C$17,BE18&lt;=Ferien!$D$17),AND(BE18&gt;=Ferien!$C$18,BE18&lt;=Ferien!$D$18),AND(BE18&gt;=Ferien!$C$19,BE18&lt;=Ferien!$D$19),AND(BE18&gt;=Ferien!$C$20,BE18&lt;=Ferien!$D$20),AND(BE18&gt;=Ferien!$C$21,BE18&lt;=Ferien!$D$21))),1,0)</f>
        <v>0</v>
      </c>
      <c r="BJ18" s="811" t="str">
        <f>IF(BL18="","",Feiertage!C11)</f>
        <v/>
      </c>
      <c r="BK18" s="812"/>
      <c r="BL18" s="338" t="str">
        <f>Feiertage!B11</f>
        <v/>
      </c>
      <c r="BM18" s="304" t="str">
        <f t="shared" si="30"/>
        <v/>
      </c>
      <c r="BN18" s="314" t="str">
        <f t="shared" si="31"/>
        <v/>
      </c>
      <c r="BO18" s="315" t="str">
        <f t="shared" si="32"/>
        <v/>
      </c>
      <c r="BP18" s="253">
        <f t="shared" ca="1" si="33"/>
        <v>4</v>
      </c>
      <c r="BQ18" s="236">
        <v>0</v>
      </c>
      <c r="BR18" s="235">
        <f t="shared" ca="1" si="34"/>
        <v>0</v>
      </c>
      <c r="BS18" s="235">
        <f t="shared" ca="1" si="35"/>
        <v>0</v>
      </c>
      <c r="BT18" s="238"/>
      <c r="BU18" s="238"/>
      <c r="BV18" s="238"/>
    </row>
    <row r="19" spans="2:77" ht="19.5" customHeight="1" thickBot="1">
      <c r="B19" s="250">
        <f t="shared" ca="1" si="0"/>
        <v>45307</v>
      </c>
      <c r="C19" s="573" t="str">
        <f t="shared" ca="1" si="1"/>
        <v/>
      </c>
      <c r="D19" s="317" t="str">
        <f ca="1">IFERROR(VLOOKUP(B19,Mond!$B$3:$C$59,2,0),"")</f>
        <v/>
      </c>
      <c r="E19" s="302" t="str">
        <f ca="1">IFERROR(IF(VLOOKUP(B19,Gießtage!$L$8:$L$98,1,0),1,0),"")</f>
        <v/>
      </c>
      <c r="F19" s="251">
        <f ca="1">IF(AND(OR(AND(B19&gt;=Ferien!$C$11,B19&lt;=Ferien!$D$11),AND(B19&gt;=Ferien!$C$12,B19&lt;=Ferien!$D$12),AND(B19&gt;=Ferien!$C$13,B19&lt;=Ferien!$D$13),AND(B19&gt;=Ferien!$C$14,B19&lt;=Ferien!$D$14),AND(B19&gt;=Ferien!$C$15,B19&lt;=Ferien!$D$15),AND(B19&gt;=Ferien!$C$16,B19&lt;=Ferien!$D$16),AND(B19&gt;=Ferien!$C$17,B19&lt;=Ferien!$D$17),AND(B19&gt;=Ferien!$C$18,B19&lt;=Ferien!$D$18),AND(B19&gt;=Ferien!$C$19,B19&lt;=Ferien!$D$19),AND(B19&gt;=Ferien!$C$20,B19&lt;=Ferien!$D$20),AND(B19&gt;=Ferien!$C$21,B19&lt;=Ferien!$D$21))),1,0)</f>
        <v>0</v>
      </c>
      <c r="G19" s="250">
        <f t="shared" ca="1" si="2"/>
        <v>45338</v>
      </c>
      <c r="H19" s="573" t="s">
        <v>258</v>
      </c>
      <c r="I19" s="317" t="str">
        <f ca="1">IFERROR(VLOOKUP(G19,Mond!$B$3:$C$59,2,0),"")</f>
        <v>G</v>
      </c>
      <c r="J19" s="302" t="str">
        <f ca="1">IFERROR(IF(VLOOKUP(G19,Gießtage!$L$8:$L$98,1,0),1,0),"")</f>
        <v/>
      </c>
      <c r="K19" s="251">
        <f ca="1">IF(AND(OR(AND(G19&gt;=Ferien!$C$11,G19&lt;=Ferien!$D$11),AND(G19&gt;=Ferien!$C$12,G19&lt;=Ferien!$D$12),AND(G19&gt;=Ferien!$C$13,G19&lt;=Ferien!$D$13),AND(G19&gt;=Ferien!$C$14,G19&lt;=Ferien!$D$14),AND(G19&gt;=Ferien!$C$15,G19&lt;=Ferien!$D$15),AND(G19&gt;=Ferien!$C$16,G19&lt;=Ferien!$D$16),AND(G19&gt;=Ferien!$C$17,G19&lt;=Ferien!$D$17),AND(G19&gt;=Ferien!$C$18,G19&lt;=Ferien!$D$18),AND(G19&gt;=Ferien!$C$19,G19&lt;=Ferien!$D$19),AND(G19&gt;=Ferien!$C$20,G19&lt;=Ferien!$D$20),AND(G19&gt;=Ferien!$C$21,G19&lt;=Ferien!$D$21))),1,0)</f>
        <v>0</v>
      </c>
      <c r="L19" s="250">
        <f t="shared" ca="1" si="3"/>
        <v>45367</v>
      </c>
      <c r="M19" s="573" t="str">
        <f t="shared" ca="1" si="4"/>
        <v/>
      </c>
      <c r="N19" s="317" t="str">
        <f ca="1">IFERROR(VLOOKUP(L19,Mond!$B$3:$C$59,2,0),"")</f>
        <v/>
      </c>
      <c r="O19" s="302" t="str">
        <f ca="1">IFERROR(IF(VLOOKUP(L19,Gießtage!$L$8:$L$98,1,0),1,0),"")</f>
        <v/>
      </c>
      <c r="P19" s="251">
        <f ca="1">IF(AND(OR(AND(L19&gt;=Ferien!$C$11,L19&lt;=Ferien!$D$11),AND(L19&gt;=Ferien!$C$12,L19&lt;=Ferien!$D$12),AND(L19&gt;=Ferien!$C$13,L19&lt;=Ferien!$D$13),AND(L19&gt;=Ferien!$C$14,L19&lt;=Ferien!$D$14),AND(L19&gt;=Ferien!$C$15,L19&lt;=Ferien!$D$15),AND(L19&gt;=Ferien!$C$16,L19&lt;=Ferien!$D$16),AND(L19&gt;=Ferien!$C$17,L19&lt;=Ferien!$D$17),AND(L19&gt;=Ferien!$C$18,L19&lt;=Ferien!$D$18),AND(L19&gt;=Ferien!$C$19,L19&lt;=Ferien!$D$19),AND(L19&gt;=Ferien!$C$20,L19&lt;=Ferien!$D$20),AND(L19&gt;=Ferien!$C$21,L19&lt;=Ferien!$D$21))),1,0)</f>
        <v>0</v>
      </c>
      <c r="Q19" s="250">
        <f t="shared" ca="1" si="5"/>
        <v>45398</v>
      </c>
      <c r="R19" s="573" t="str">
        <f t="shared" ca="1" si="6"/>
        <v/>
      </c>
      <c r="S19" s="317" t="str">
        <f ca="1">IFERROR(VLOOKUP(Q19,Mond!$B$3:$C$59,2,0),"")</f>
        <v/>
      </c>
      <c r="T19" s="302" t="str">
        <f ca="1">IFERROR(IF(VLOOKUP(Q19,Gießtage!$L$8:$L$98,1,0),1,0),"")</f>
        <v/>
      </c>
      <c r="U19" s="251">
        <f ca="1">IF(AND(OR(AND(Q19&gt;=Ferien!$C$11,Q19&lt;=Ferien!$D$11),AND(Q19&gt;=Ferien!$C$12,Q19&lt;=Ferien!$D$12),AND(Q19&gt;=Ferien!$C$13,Q19&lt;=Ferien!$D$13),AND(Q19&gt;=Ferien!$C$14,Q19&lt;=Ferien!$D$14),AND(Q19&gt;=Ferien!$C$15,Q19&lt;=Ferien!$D$15),AND(Q19&gt;=Ferien!$C$16,Q19&lt;=Ferien!$D$16),AND(Q19&gt;=Ferien!$C$17,Q19&lt;=Ferien!$D$17),AND(Q19&gt;=Ferien!$C$18,Q19&lt;=Ferien!$D$18),AND(Q19&gt;=Ferien!$C$19,Q19&lt;=Ferien!$D$19),AND(Q19&gt;=Ferien!$C$20,Q19&lt;=Ferien!$D$20),AND(Q19&gt;=Ferien!$C$21,Q19&lt;=Ferien!$D$21))),1,0)</f>
        <v>0</v>
      </c>
      <c r="V19" s="250">
        <f t="shared" ca="1" si="7"/>
        <v>45428</v>
      </c>
      <c r="W19" s="573" t="str">
        <f t="shared" ca="1" si="8"/>
        <v/>
      </c>
      <c r="X19" s="317" t="str">
        <f ca="1">IFERROR(VLOOKUP(V19,Mond!$B$3:$C$59,2,0),"")</f>
        <v/>
      </c>
      <c r="Y19" s="302" t="str">
        <f ca="1">IFERROR(IF(VLOOKUP(V19,Gießtage!$L$8:$L$98,1,0),1,0),"")</f>
        <v/>
      </c>
      <c r="Z19" s="251">
        <f ca="1">IF(AND(OR(AND(V19&gt;=Ferien!$C$11,V19&lt;=Ferien!$D$11),AND(V19&gt;=Ferien!$C$12,V19&lt;=Ferien!$D$12),AND(V19&gt;=Ferien!$C$13,V19&lt;=Ferien!$D$13),AND(V19&gt;=Ferien!$C$14,V19&lt;=Ferien!$D$14),AND(V19&gt;=Ferien!$C$15,V19&lt;=Ferien!$D$15),AND(V19&gt;=Ferien!$C$16,V19&lt;=Ferien!$D$16),AND(V19&gt;=Ferien!$C$17,V19&lt;=Ferien!$D$17),AND(V19&gt;=Ferien!$C$18,V19&lt;=Ferien!$D$18),AND(V19&gt;=Ferien!$C$19,V19&lt;=Ferien!$D$19),AND(V19&gt;=Ferien!$C$20,V19&lt;=Ferien!$D$20),AND(V19&gt;=Ferien!$C$21,V19&lt;=Ferien!$D$21))),1,0)</f>
        <v>0</v>
      </c>
      <c r="AA19" s="250">
        <f t="shared" ca="1" si="9"/>
        <v>45459</v>
      </c>
      <c r="AB19" s="573" t="str">
        <f t="shared" ca="1" si="10"/>
        <v/>
      </c>
      <c r="AC19" s="317" t="str">
        <f ca="1">IFERROR(VLOOKUP(AA19,Mond!$B$3:$C$59,2,0),"")</f>
        <v/>
      </c>
      <c r="AD19" s="302" t="str">
        <f ca="1">IFERROR(IF(VLOOKUP(AA19,Gießtage!$L$8:$L$98,1,0),1,0),"")</f>
        <v/>
      </c>
      <c r="AE19" s="251">
        <f ca="1">IF(AND(OR(AND(AA19&gt;=Ferien!$C$11,AA19&lt;=Ferien!$D$11),AND(AA19&gt;=Ferien!$C$12,AA19&lt;=Ferien!$D$12),AND(AA19&gt;=Ferien!$C$13,AA19&lt;=Ferien!$D$13),AND(AA19&gt;=Ferien!$C$14,AA19&lt;=Ferien!$D$14),AND(AA19&gt;=Ferien!$C$15,AA19&lt;=Ferien!$D$15),AND(AA19&gt;=Ferien!$C$16,AA19&lt;=Ferien!$D$16),AND(AA19&gt;=Ferien!$C$17,AA19&lt;=Ferien!$D$17),AND(AA19&gt;=Ferien!$C$18,AA19&lt;=Ferien!$D$18),AND(AA19&gt;=Ferien!$C$19,AA19&lt;=Ferien!$D$19),AND(AA19&gt;=Ferien!$C$20,AA19&lt;=Ferien!$D$20),AND(AA19&gt;=Ferien!$C$21,AA19&lt;=Ferien!$D$21))),1,0)</f>
        <v>0</v>
      </c>
      <c r="AF19" s="250">
        <f t="shared" ca="1" si="11"/>
        <v>45489</v>
      </c>
      <c r="AG19" s="573" t="str">
        <f t="shared" ca="1" si="12"/>
        <v>{</v>
      </c>
      <c r="AH19" s="317" t="str">
        <f ca="1">IFERROR(VLOOKUP(AF19,Mond!$B$3:$C$59,2,0),"")</f>
        <v/>
      </c>
      <c r="AI19" s="302">
        <f ca="1">IFERROR(IF(VLOOKUP(AF19,Gießtage!$L$8:$L$98,1,0),1,0),"")</f>
        <v>1</v>
      </c>
      <c r="AJ19" s="251">
        <f ca="1">IF(AND(OR(AND(AF19&gt;=Ferien!$C$11,AF19&lt;=Ferien!$D$11),AND(AF19&gt;=Ferien!$C$12,AF19&lt;=Ferien!$D$12),AND(AF19&gt;=Ferien!$C$13,AF19&lt;=Ferien!$D$13),AND(AF19&gt;=Ferien!$C$14,AF19&lt;=Ferien!$D$14),AND(AF19&gt;=Ferien!$C$15,AF19&lt;=Ferien!$D$15),AND(AF19&gt;=Ferien!$C$16,AF19&lt;=Ferien!$D$16),AND(AF19&gt;=Ferien!$C$17,AF19&lt;=Ferien!$D$17),AND(AF19&gt;=Ferien!$C$18,AF19&lt;=Ferien!$D$18),AND(AF19&gt;=Ferien!$C$19,AF19&lt;=Ferien!$D$19),AND(AF19&gt;=Ferien!$C$20,AF19&lt;=Ferien!$D$20),AND(AF19&gt;=Ferien!$C$21,AF19&lt;=Ferien!$D$21))),1,0)</f>
        <v>0</v>
      </c>
      <c r="AK19" s="250">
        <f t="shared" ca="1" si="13"/>
        <v>45520</v>
      </c>
      <c r="AL19" s="573" t="str">
        <f t="shared" ca="1" si="14"/>
        <v/>
      </c>
      <c r="AM19" s="317" t="str">
        <f ca="1">IFERROR(VLOOKUP(AK19,Mond!$B$3:$C$59,2,0),"")</f>
        <v/>
      </c>
      <c r="AN19" s="302" t="str">
        <f ca="1">IFERROR(IF(VLOOKUP(AK19,Gießtage!$L$8:$L$98,1,0),1,0),"")</f>
        <v/>
      </c>
      <c r="AO19" s="251">
        <f ca="1">IF(AND(OR(AND(AK19&gt;=Ferien!$C$11,AK19&lt;=Ferien!$D$11),AND(AK19&gt;=Ferien!$C$12,AK19&lt;=Ferien!$D$12),AND(AK19&gt;=Ferien!$C$13,AK19&lt;=Ferien!$D$13),AND(AK19&gt;=Ferien!$C$14,AK19&lt;=Ferien!$D$14),AND(AK19&gt;=Ferien!$C$15,AK19&lt;=Ferien!$D$15),AND(AK19&gt;=Ferien!$C$16,AK19&lt;=Ferien!$D$16),AND(AK19&gt;=Ferien!$C$17,AK19&lt;=Ferien!$D$17),AND(AK19&gt;=Ferien!$C$18,AK19&lt;=Ferien!$D$18),AND(AK19&gt;=Ferien!$C$19,AK19&lt;=Ferien!$D$19),AND(AK19&gt;=Ferien!$C$20,AK19&lt;=Ferien!$D$20),AND(AK19&gt;=Ferien!$C$21,AK19&lt;=Ferien!$D$21))),1,0)</f>
        <v>1</v>
      </c>
      <c r="AP19" s="250">
        <f t="shared" ca="1" si="15"/>
        <v>45551</v>
      </c>
      <c r="AQ19" s="573" t="str">
        <f t="shared" ca="1" si="16"/>
        <v>{</v>
      </c>
      <c r="AR19" s="317" t="str">
        <f ca="1">IFERROR(VLOOKUP(AP19,Mond!$B$3:$C$59,2,0),"")</f>
        <v/>
      </c>
      <c r="AS19" s="302">
        <f ca="1">IFERROR(IF(VLOOKUP(AP19,Gießtage!$L$8:$L$98,1,0),1,0),"")</f>
        <v>1</v>
      </c>
      <c r="AT19" s="251">
        <f ca="1">IF(AND(OR(AND(AP19&gt;=Ferien!$C$11,AP19&lt;=Ferien!$D$11),AND(AP19&gt;=Ferien!$C$12,AP19&lt;=Ferien!$D$12),AND(AP19&gt;=Ferien!$C$13,AP19&lt;=Ferien!$D$13),AND(AP19&gt;=Ferien!$C$14,AP19&lt;=Ferien!$D$14),AND(AP19&gt;=Ferien!$C$15,AP19&lt;=Ferien!$D$15),AND(AP19&gt;=Ferien!$C$16,AP19&lt;=Ferien!$D$16),AND(AP19&gt;=Ferien!$C$17,AP19&lt;=Ferien!$D$17),AND(AP19&gt;=Ferien!$C$18,AP19&lt;=Ferien!$D$18),AND(AP19&gt;=Ferien!$C$19,AP19&lt;=Ferien!$D$19),AND(AP19&gt;=Ferien!$C$20,AP19&lt;=Ferien!$D$20),AND(AP19&gt;=Ferien!$C$21,AP19&lt;=Ferien!$D$21))),1,0)</f>
        <v>0</v>
      </c>
      <c r="AU19" s="250">
        <f t="shared" ca="1" si="17"/>
        <v>45581</v>
      </c>
      <c r="AV19" s="573" t="str">
        <f t="shared" ca="1" si="18"/>
        <v/>
      </c>
      <c r="AW19" s="317" t="str">
        <f ca="1">IFERROR(VLOOKUP(AU19,Mond!$B$3:$C$59,2,0),"")</f>
        <v/>
      </c>
      <c r="AX19" s="302" t="str">
        <f ca="1">IFERROR(IF(VLOOKUP(AU19,Gießtage!$L$8:$L$98,1,0),1,0),"")</f>
        <v/>
      </c>
      <c r="AY19" s="251">
        <f ca="1">IF(AND(OR(AND(AU19&gt;=Ferien!$C$11,AU19&lt;=Ferien!$D$11),AND(AU19&gt;=Ferien!$C$12,AU19&lt;=Ferien!$D$12),AND(AU19&gt;=Ferien!$C$13,AU19&lt;=Ferien!$D$13),AND(AU19&gt;=Ferien!$C$14,AU19&lt;=Ferien!$D$14),AND(AU19&gt;=Ferien!$C$15,AU19&lt;=Ferien!$D$15),AND(AU19&gt;=Ferien!$C$16,AU19&lt;=Ferien!$D$16),AND(AU19&gt;=Ferien!$C$17,AU19&lt;=Ferien!$D$17),AND(AU19&gt;=Ferien!$C$18,AU19&lt;=Ferien!$D$18),AND(AU19&gt;=Ferien!$C$19,AU19&lt;=Ferien!$D$19),AND(AU19&gt;=Ferien!$C$20,AU19&lt;=Ferien!$D$20),AND(AU19&gt;=Ferien!$C$21,AU19&lt;=Ferien!$D$21))),1,0)</f>
        <v>0</v>
      </c>
      <c r="AZ19" s="250">
        <f t="shared" ca="1" si="19"/>
        <v>45612</v>
      </c>
      <c r="BA19" s="573" t="str">
        <f t="shared" ca="1" si="20"/>
        <v/>
      </c>
      <c r="BB19" s="317" t="str">
        <f ca="1">IFERROR(VLOOKUP(AZ19,Mond!$B$3:$C$59,2,0),"")</f>
        <v/>
      </c>
      <c r="BC19" s="302" t="str">
        <f ca="1">IFERROR(IF(VLOOKUP(AZ19,Gießtage!$L$8:$L$98,1,0),1,0),"")</f>
        <v/>
      </c>
      <c r="BD19" s="251">
        <f ca="1">IF(AND(OR(AND(AZ19&gt;=Ferien!$C$11,AZ19&lt;=Ferien!$D$11),AND(AZ19&gt;=Ferien!$C$12,AZ19&lt;=Ferien!$D$12),AND(AZ19&gt;=Ferien!$C$13,AZ19&lt;=Ferien!$D$13),AND(AZ19&gt;=Ferien!$C$14,AZ19&lt;=Ferien!$D$14),AND(AZ19&gt;=Ferien!$C$15,AZ19&lt;=Ferien!$D$15),AND(AZ19&gt;=Ferien!$C$16,AZ19&lt;=Ferien!$D$16),AND(AZ19&gt;=Ferien!$C$17,AZ19&lt;=Ferien!$D$17),AND(AZ19&gt;=Ferien!$C$18,AZ19&lt;=Ferien!$D$18),AND(AZ19&gt;=Ferien!$C$19,AZ19&lt;=Ferien!$D$19),AND(AZ19&gt;=Ferien!$C$20,AZ19&lt;=Ferien!$D$20),AND(AZ19&gt;=Ferien!$C$21,AZ19&lt;=Ferien!$D$21))),1,0)</f>
        <v>0</v>
      </c>
      <c r="BE19" s="250">
        <f t="shared" ca="1" si="21"/>
        <v>45642</v>
      </c>
      <c r="BF19" s="573" t="str">
        <f t="shared" ca="1" si="22"/>
        <v>{</v>
      </c>
      <c r="BG19" s="317" t="str">
        <f ca="1">IFERROR(VLOOKUP(BE19,Mond!$B$3:$C$59,2,0),"")</f>
        <v/>
      </c>
      <c r="BH19" s="302">
        <f ca="1">IFERROR(IF(VLOOKUP(BE19,Gießtage!$L$8:$L$98,1,0),1,0),"")</f>
        <v>1</v>
      </c>
      <c r="BI19" s="252">
        <f ca="1">IF(AND(OR(AND(BE19&gt;=Ferien!$C$11,BE19&lt;=Ferien!$D$11),AND(BE19&gt;=Ferien!$C$12,BE19&lt;=Ferien!$D$12),AND(BE19&gt;=Ferien!$C$13,BE19&lt;=Ferien!$D$13),AND(BE19&gt;=Ferien!$C$14,BE19&lt;=Ferien!$D$14),AND(BE19&gt;=Ferien!$C$15,BE19&lt;=Ferien!$D$15),AND(BE19&gt;=Ferien!$C$16,BE19&lt;=Ferien!$D$16),AND(BE19&gt;=Ferien!$C$17,BE19&lt;=Ferien!$D$17),AND(BE19&gt;=Ferien!$C$18,BE19&lt;=Ferien!$D$18),AND(BE19&gt;=Ferien!$C$19,BE19&lt;=Ferien!$D$19),AND(BE19&gt;=Ferien!$C$20,BE19&lt;=Ferien!$D$20),AND(BE19&gt;=Ferien!$C$21,BE19&lt;=Ferien!$D$21))),1,0)</f>
        <v>0</v>
      </c>
      <c r="BJ19" s="811" t="str">
        <f>IF(BL19="","",Feiertage!C12)</f>
        <v/>
      </c>
      <c r="BK19" s="812"/>
      <c r="BL19" s="338" t="str">
        <f>Feiertage!B12</f>
        <v/>
      </c>
      <c r="BM19" s="304" t="str">
        <f t="shared" si="30"/>
        <v/>
      </c>
      <c r="BN19" s="314" t="str">
        <f t="shared" si="31"/>
        <v/>
      </c>
      <c r="BO19" s="315" t="str">
        <f t="shared" si="32"/>
        <v/>
      </c>
      <c r="BP19" s="253" t="str">
        <f t="shared" si="33"/>
        <v/>
      </c>
      <c r="BQ19" s="236">
        <v>1</v>
      </c>
      <c r="BR19" s="235" t="e">
        <f t="shared" si="34"/>
        <v>#VALUE!</v>
      </c>
      <c r="BS19" s="235" t="e">
        <f t="shared" si="35"/>
        <v>#VALUE!</v>
      </c>
      <c r="BT19" s="238"/>
      <c r="BU19" s="238"/>
      <c r="BV19" s="238"/>
    </row>
    <row r="20" spans="2:77" ht="19.5" customHeight="1" thickBot="1">
      <c r="B20" s="250">
        <f t="shared" ca="1" si="0"/>
        <v>45308</v>
      </c>
      <c r="C20" s="573" t="str">
        <f t="shared" ca="1" si="1"/>
        <v/>
      </c>
      <c r="D20" s="317" t="str">
        <f ca="1">IFERROR(VLOOKUP(B20,Mond!$B$3:$C$59,2,0),"")</f>
        <v/>
      </c>
      <c r="E20" s="302" t="str">
        <f ca="1">IFERROR(IF(VLOOKUP(B20,Gießtage!$L$8:$L$98,1,0),1,0),"")</f>
        <v/>
      </c>
      <c r="F20" s="251">
        <f ca="1">IF(AND(OR(AND(B20&gt;=Ferien!$C$11,B20&lt;=Ferien!$D$11),AND(B20&gt;=Ferien!$C$12,B20&lt;=Ferien!$D$12),AND(B20&gt;=Ferien!$C$13,B20&lt;=Ferien!$D$13),AND(B20&gt;=Ferien!$C$14,B20&lt;=Ferien!$D$14),AND(B20&gt;=Ferien!$C$15,B20&lt;=Ferien!$D$15),AND(B20&gt;=Ferien!$C$16,B20&lt;=Ferien!$D$16),AND(B20&gt;=Ferien!$C$17,B20&lt;=Ferien!$D$17),AND(B20&gt;=Ferien!$C$18,B20&lt;=Ferien!$D$18),AND(B20&gt;=Ferien!$C$19,B20&lt;=Ferien!$D$19),AND(B20&gt;=Ferien!$C$20,B20&lt;=Ferien!$D$20),AND(B20&gt;=Ferien!$C$21,B20&lt;=Ferien!$D$21))),1,0)</f>
        <v>0</v>
      </c>
      <c r="G20" s="250">
        <f t="shared" ca="1" si="2"/>
        <v>45339</v>
      </c>
      <c r="H20" s="573" t="s">
        <v>258</v>
      </c>
      <c r="I20" s="317" t="str">
        <f ca="1">IFERROR(VLOOKUP(G20,Mond!$B$3:$C$59,2,0),"")</f>
        <v/>
      </c>
      <c r="J20" s="302" t="str">
        <f ca="1">IFERROR(IF(VLOOKUP(G20,Gießtage!$L$8:$L$98,1,0),1,0),"")</f>
        <v/>
      </c>
      <c r="K20" s="251">
        <f ca="1">IF(AND(OR(AND(G20&gt;=Ferien!$C$11,G20&lt;=Ferien!$D$11),AND(G20&gt;=Ferien!$C$12,G20&lt;=Ferien!$D$12),AND(G20&gt;=Ferien!$C$13,G20&lt;=Ferien!$D$13),AND(G20&gt;=Ferien!$C$14,G20&lt;=Ferien!$D$14),AND(G20&gt;=Ferien!$C$15,G20&lt;=Ferien!$D$15),AND(G20&gt;=Ferien!$C$16,G20&lt;=Ferien!$D$16),AND(G20&gt;=Ferien!$C$17,G20&lt;=Ferien!$D$17),AND(G20&gt;=Ferien!$C$18,G20&lt;=Ferien!$D$18),AND(G20&gt;=Ferien!$C$19,G20&lt;=Ferien!$D$19),AND(G20&gt;=Ferien!$C$20,G20&lt;=Ferien!$D$20),AND(G20&gt;=Ferien!$C$21,G20&lt;=Ferien!$D$21))),1,0)</f>
        <v>0</v>
      </c>
      <c r="L20" s="250">
        <f t="shared" ca="1" si="3"/>
        <v>45368</v>
      </c>
      <c r="M20" s="573" t="str">
        <f t="shared" ca="1" si="4"/>
        <v>{</v>
      </c>
      <c r="N20" s="317" t="str">
        <f ca="1">IFERROR(VLOOKUP(L20,Mond!$B$3:$C$59,2,0),"")</f>
        <v>G</v>
      </c>
      <c r="O20" s="302">
        <f ca="1">IFERROR(IF(VLOOKUP(L20,Gießtage!$L$8:$L$98,1,0),1,0),"")</f>
        <v>1</v>
      </c>
      <c r="P20" s="251">
        <f ca="1">IF(AND(OR(AND(L20&gt;=Ferien!$C$11,L20&lt;=Ferien!$D$11),AND(L20&gt;=Ferien!$C$12,L20&lt;=Ferien!$D$12),AND(L20&gt;=Ferien!$C$13,L20&lt;=Ferien!$D$13),AND(L20&gt;=Ferien!$C$14,L20&lt;=Ferien!$D$14),AND(L20&gt;=Ferien!$C$15,L20&lt;=Ferien!$D$15),AND(L20&gt;=Ferien!$C$16,L20&lt;=Ferien!$D$16),AND(L20&gt;=Ferien!$C$17,L20&lt;=Ferien!$D$17),AND(L20&gt;=Ferien!$C$18,L20&lt;=Ferien!$D$18),AND(L20&gt;=Ferien!$C$19,L20&lt;=Ferien!$D$19),AND(L20&gt;=Ferien!$C$20,L20&lt;=Ferien!$D$20),AND(L20&gt;=Ferien!$C$21,L20&lt;=Ferien!$D$21))),1,0)</f>
        <v>0</v>
      </c>
      <c r="Q20" s="250">
        <f t="shared" ca="1" si="5"/>
        <v>45399</v>
      </c>
      <c r="R20" s="573" t="str">
        <f t="shared" ca="1" si="6"/>
        <v/>
      </c>
      <c r="S20" s="317" t="str">
        <f ca="1">IFERROR(VLOOKUP(Q20,Mond!$B$3:$C$59,2,0),"")</f>
        <v/>
      </c>
      <c r="T20" s="302" t="str">
        <f ca="1">IFERROR(IF(VLOOKUP(Q20,Gießtage!$L$8:$L$98,1,0),1,0),"")</f>
        <v/>
      </c>
      <c r="U20" s="251">
        <f ca="1">IF(AND(OR(AND(Q20&gt;=Ferien!$C$11,Q20&lt;=Ferien!$D$11),AND(Q20&gt;=Ferien!$C$12,Q20&lt;=Ferien!$D$12),AND(Q20&gt;=Ferien!$C$13,Q20&lt;=Ferien!$D$13),AND(Q20&gt;=Ferien!$C$14,Q20&lt;=Ferien!$D$14),AND(Q20&gt;=Ferien!$C$15,Q20&lt;=Ferien!$D$15),AND(Q20&gt;=Ferien!$C$16,Q20&lt;=Ferien!$D$16),AND(Q20&gt;=Ferien!$C$17,Q20&lt;=Ferien!$D$17),AND(Q20&gt;=Ferien!$C$18,Q20&lt;=Ferien!$D$18),AND(Q20&gt;=Ferien!$C$19,Q20&lt;=Ferien!$D$19),AND(Q20&gt;=Ferien!$C$20,Q20&lt;=Ferien!$D$20),AND(Q20&gt;=Ferien!$C$21,Q20&lt;=Ferien!$D$21))),1,0)</f>
        <v>0</v>
      </c>
      <c r="V20" s="250">
        <f t="shared" ca="1" si="7"/>
        <v>45429</v>
      </c>
      <c r="W20" s="573" t="str">
        <f t="shared" ca="1" si="8"/>
        <v/>
      </c>
      <c r="X20" s="317" t="str">
        <f ca="1">IFERROR(VLOOKUP(V20,Mond!$B$3:$C$59,2,0),"")</f>
        <v/>
      </c>
      <c r="Y20" s="302" t="str">
        <f ca="1">IFERROR(IF(VLOOKUP(V20,Gießtage!$L$8:$L$98,1,0),1,0),"")</f>
        <v/>
      </c>
      <c r="Z20" s="251">
        <f ca="1">IF(AND(OR(AND(V20&gt;=Ferien!$C$11,V20&lt;=Ferien!$D$11),AND(V20&gt;=Ferien!$C$12,V20&lt;=Ferien!$D$12),AND(V20&gt;=Ferien!$C$13,V20&lt;=Ferien!$D$13),AND(V20&gt;=Ferien!$C$14,V20&lt;=Ferien!$D$14),AND(V20&gt;=Ferien!$C$15,V20&lt;=Ferien!$D$15),AND(V20&gt;=Ferien!$C$16,V20&lt;=Ferien!$D$16),AND(V20&gt;=Ferien!$C$17,V20&lt;=Ferien!$D$17),AND(V20&gt;=Ferien!$C$18,V20&lt;=Ferien!$D$18),AND(V20&gt;=Ferien!$C$19,V20&lt;=Ferien!$D$19),AND(V20&gt;=Ferien!$C$20,V20&lt;=Ferien!$D$20),AND(V20&gt;=Ferien!$C$21,V20&lt;=Ferien!$D$21))),1,0)</f>
        <v>0</v>
      </c>
      <c r="AA20" s="250">
        <f t="shared" ca="1" si="9"/>
        <v>45460</v>
      </c>
      <c r="AB20" s="573" t="str">
        <f t="shared" ca="1" si="10"/>
        <v>{</v>
      </c>
      <c r="AC20" s="317" t="str">
        <f ca="1">IFERROR(VLOOKUP(AA20,Mond!$B$3:$C$59,2,0),"")</f>
        <v/>
      </c>
      <c r="AD20" s="302">
        <f ca="1">IFERROR(IF(VLOOKUP(AA20,Gießtage!$L$8:$L$98,1,0),1,0),"")</f>
        <v>1</v>
      </c>
      <c r="AE20" s="251">
        <f ca="1">IF(AND(OR(AND(AA20&gt;=Ferien!$C$11,AA20&lt;=Ferien!$D$11),AND(AA20&gt;=Ferien!$C$12,AA20&lt;=Ferien!$D$12),AND(AA20&gt;=Ferien!$C$13,AA20&lt;=Ferien!$D$13),AND(AA20&gt;=Ferien!$C$14,AA20&lt;=Ferien!$D$14),AND(AA20&gt;=Ferien!$C$15,AA20&lt;=Ferien!$D$15),AND(AA20&gt;=Ferien!$C$16,AA20&lt;=Ferien!$D$16),AND(AA20&gt;=Ferien!$C$17,AA20&lt;=Ferien!$D$17),AND(AA20&gt;=Ferien!$C$18,AA20&lt;=Ferien!$D$18),AND(AA20&gt;=Ferien!$C$19,AA20&lt;=Ferien!$D$19),AND(AA20&gt;=Ferien!$C$20,AA20&lt;=Ferien!$D$20),AND(AA20&gt;=Ferien!$C$21,AA20&lt;=Ferien!$D$21))),1,0)</f>
        <v>0</v>
      </c>
      <c r="AF20" s="250">
        <f t="shared" ca="1" si="11"/>
        <v>45490</v>
      </c>
      <c r="AG20" s="573" t="str">
        <f t="shared" ca="1" si="12"/>
        <v/>
      </c>
      <c r="AH20" s="317" t="str">
        <f ca="1">IFERROR(VLOOKUP(AF20,Mond!$B$3:$C$59,2,0),"")</f>
        <v/>
      </c>
      <c r="AI20" s="302" t="str">
        <f ca="1">IFERROR(IF(VLOOKUP(AF20,Gießtage!$L$8:$L$98,1,0),1,0),"")</f>
        <v/>
      </c>
      <c r="AJ20" s="251">
        <f ca="1">IF(AND(OR(AND(AF20&gt;=Ferien!$C$11,AF20&lt;=Ferien!$D$11),AND(AF20&gt;=Ferien!$C$12,AF20&lt;=Ferien!$D$12),AND(AF20&gt;=Ferien!$C$13,AF20&lt;=Ferien!$D$13),AND(AF20&gt;=Ferien!$C$14,AF20&lt;=Ferien!$D$14),AND(AF20&gt;=Ferien!$C$15,AF20&lt;=Ferien!$D$15),AND(AF20&gt;=Ferien!$C$16,AF20&lt;=Ferien!$D$16),AND(AF20&gt;=Ferien!$C$17,AF20&lt;=Ferien!$D$17),AND(AF20&gt;=Ferien!$C$18,AF20&lt;=Ferien!$D$18),AND(AF20&gt;=Ferien!$C$19,AF20&lt;=Ferien!$D$19),AND(AF20&gt;=Ferien!$C$20,AF20&lt;=Ferien!$D$20),AND(AF20&gt;=Ferien!$C$21,AF20&lt;=Ferien!$D$21))),1,0)</f>
        <v>0</v>
      </c>
      <c r="AK20" s="250">
        <f t="shared" ca="1" si="13"/>
        <v>45521</v>
      </c>
      <c r="AL20" s="573" t="str">
        <f t="shared" ca="1" si="14"/>
        <v/>
      </c>
      <c r="AM20" s="317" t="str">
        <f ca="1">IFERROR(VLOOKUP(AK20,Mond!$B$3:$C$59,2,0),"")</f>
        <v/>
      </c>
      <c r="AN20" s="302" t="str">
        <f ca="1">IFERROR(IF(VLOOKUP(AK20,Gießtage!$L$8:$L$98,1,0),1,0),"")</f>
        <v/>
      </c>
      <c r="AO20" s="251">
        <f ca="1">IF(AND(OR(AND(AK20&gt;=Ferien!$C$11,AK20&lt;=Ferien!$D$11),AND(AK20&gt;=Ferien!$C$12,AK20&lt;=Ferien!$D$12),AND(AK20&gt;=Ferien!$C$13,AK20&lt;=Ferien!$D$13),AND(AK20&gt;=Ferien!$C$14,AK20&lt;=Ferien!$D$14),AND(AK20&gt;=Ferien!$C$15,AK20&lt;=Ferien!$D$15),AND(AK20&gt;=Ferien!$C$16,AK20&lt;=Ferien!$D$16),AND(AK20&gt;=Ferien!$C$17,AK20&lt;=Ferien!$D$17),AND(AK20&gt;=Ferien!$C$18,AK20&lt;=Ferien!$D$18),AND(AK20&gt;=Ferien!$C$19,AK20&lt;=Ferien!$D$19),AND(AK20&gt;=Ferien!$C$20,AK20&lt;=Ferien!$D$20),AND(AK20&gt;=Ferien!$C$21,AK20&lt;=Ferien!$D$21))),1,0)</f>
        <v>1</v>
      </c>
      <c r="AP20" s="250">
        <f t="shared" ca="1" si="15"/>
        <v>45552</v>
      </c>
      <c r="AQ20" s="573" t="str">
        <f t="shared" ca="1" si="16"/>
        <v>{</v>
      </c>
      <c r="AR20" s="317" t="str">
        <f ca="1">IFERROR(VLOOKUP(AP20,Mond!$B$3:$C$59,2,0),"")</f>
        <v/>
      </c>
      <c r="AS20" s="302">
        <f ca="1">IFERROR(IF(VLOOKUP(AP20,Gießtage!$L$8:$L$98,1,0),1,0),"")</f>
        <v>1</v>
      </c>
      <c r="AT20" s="251">
        <f ca="1">IF(AND(OR(AND(AP20&gt;=Ferien!$C$11,AP20&lt;=Ferien!$D$11),AND(AP20&gt;=Ferien!$C$12,AP20&lt;=Ferien!$D$12),AND(AP20&gt;=Ferien!$C$13,AP20&lt;=Ferien!$D$13),AND(AP20&gt;=Ferien!$C$14,AP20&lt;=Ferien!$D$14),AND(AP20&gt;=Ferien!$C$15,AP20&lt;=Ferien!$D$15),AND(AP20&gt;=Ferien!$C$16,AP20&lt;=Ferien!$D$16),AND(AP20&gt;=Ferien!$C$17,AP20&lt;=Ferien!$D$17),AND(AP20&gt;=Ferien!$C$18,AP20&lt;=Ferien!$D$18),AND(AP20&gt;=Ferien!$C$19,AP20&lt;=Ferien!$D$19),AND(AP20&gt;=Ferien!$C$20,AP20&lt;=Ferien!$D$20),AND(AP20&gt;=Ferien!$C$21,AP20&lt;=Ferien!$D$21))),1,0)</f>
        <v>0</v>
      </c>
      <c r="AU20" s="250">
        <f t="shared" ca="1" si="17"/>
        <v>45582</v>
      </c>
      <c r="AV20" s="573" t="str">
        <f t="shared" ca="1" si="18"/>
        <v/>
      </c>
      <c r="AW20" s="317" t="str">
        <f ca="1">IFERROR(VLOOKUP(AU20,Mond!$B$3:$C$59,2,0),"")</f>
        <v>@</v>
      </c>
      <c r="AX20" s="302" t="str">
        <f ca="1">IFERROR(IF(VLOOKUP(AU20,Gießtage!$L$8:$L$98,1,0),1,0),"")</f>
        <v/>
      </c>
      <c r="AY20" s="251">
        <f ca="1">IF(AND(OR(AND(AU20&gt;=Ferien!$C$11,AU20&lt;=Ferien!$D$11),AND(AU20&gt;=Ferien!$C$12,AU20&lt;=Ferien!$D$12),AND(AU20&gt;=Ferien!$C$13,AU20&lt;=Ferien!$D$13),AND(AU20&gt;=Ferien!$C$14,AU20&lt;=Ferien!$D$14),AND(AU20&gt;=Ferien!$C$15,AU20&lt;=Ferien!$D$15),AND(AU20&gt;=Ferien!$C$16,AU20&lt;=Ferien!$D$16),AND(AU20&gt;=Ferien!$C$17,AU20&lt;=Ferien!$D$17),AND(AU20&gt;=Ferien!$C$18,AU20&lt;=Ferien!$D$18),AND(AU20&gt;=Ferien!$C$19,AU20&lt;=Ferien!$D$19),AND(AU20&gt;=Ferien!$C$20,AU20&lt;=Ferien!$D$20),AND(AU20&gt;=Ferien!$C$21,AU20&lt;=Ferien!$D$21))),1,0)</f>
        <v>0</v>
      </c>
      <c r="AZ20" s="250">
        <f t="shared" ca="1" si="19"/>
        <v>45613</v>
      </c>
      <c r="BA20" s="573" t="str">
        <f t="shared" ca="1" si="20"/>
        <v/>
      </c>
      <c r="BB20" s="317" t="str">
        <f ca="1">IFERROR(VLOOKUP(AZ20,Mond!$B$3:$C$59,2,0),"")</f>
        <v/>
      </c>
      <c r="BC20" s="302" t="str">
        <f ca="1">IFERROR(IF(VLOOKUP(AZ20,Gießtage!$L$8:$L$98,1,0),1,0),"")</f>
        <v/>
      </c>
      <c r="BD20" s="251">
        <f ca="1">IF(AND(OR(AND(AZ20&gt;=Ferien!$C$11,AZ20&lt;=Ferien!$D$11),AND(AZ20&gt;=Ferien!$C$12,AZ20&lt;=Ferien!$D$12),AND(AZ20&gt;=Ferien!$C$13,AZ20&lt;=Ferien!$D$13),AND(AZ20&gt;=Ferien!$C$14,AZ20&lt;=Ferien!$D$14),AND(AZ20&gt;=Ferien!$C$15,AZ20&lt;=Ferien!$D$15),AND(AZ20&gt;=Ferien!$C$16,AZ20&lt;=Ferien!$D$16),AND(AZ20&gt;=Ferien!$C$17,AZ20&lt;=Ferien!$D$17),AND(AZ20&gt;=Ferien!$C$18,AZ20&lt;=Ferien!$D$18),AND(AZ20&gt;=Ferien!$C$19,AZ20&lt;=Ferien!$D$19),AND(AZ20&gt;=Ferien!$C$20,AZ20&lt;=Ferien!$D$20),AND(AZ20&gt;=Ferien!$C$21,AZ20&lt;=Ferien!$D$21))),1,0)</f>
        <v>0</v>
      </c>
      <c r="BE20" s="250">
        <f t="shared" ca="1" si="21"/>
        <v>45643</v>
      </c>
      <c r="BF20" s="573" t="str">
        <f t="shared" ca="1" si="22"/>
        <v>{</v>
      </c>
      <c r="BG20" s="317" t="str">
        <f ca="1">IFERROR(VLOOKUP(BE20,Mond!$B$3:$C$59,2,0),"")</f>
        <v/>
      </c>
      <c r="BH20" s="302">
        <f ca="1">IFERROR(IF(VLOOKUP(BE20,Gießtage!$L$8:$L$98,1,0),1,0),"")</f>
        <v>1</v>
      </c>
      <c r="BI20" s="252">
        <f ca="1">IF(AND(OR(AND(BE20&gt;=Ferien!$C$11,BE20&lt;=Ferien!$D$11),AND(BE20&gt;=Ferien!$C$12,BE20&lt;=Ferien!$D$12),AND(BE20&gt;=Ferien!$C$13,BE20&lt;=Ferien!$D$13),AND(BE20&gt;=Ferien!$C$14,BE20&lt;=Ferien!$D$14),AND(BE20&gt;=Ferien!$C$15,BE20&lt;=Ferien!$D$15),AND(BE20&gt;=Ferien!$C$16,BE20&lt;=Ferien!$D$16),AND(BE20&gt;=Ferien!$C$17,BE20&lt;=Ferien!$D$17),AND(BE20&gt;=Ferien!$C$18,BE20&lt;=Ferien!$D$18),AND(BE20&gt;=Ferien!$C$19,BE20&lt;=Ferien!$D$19),AND(BE20&gt;=Ferien!$C$20,BE20&lt;=Ferien!$D$20),AND(BE20&gt;=Ferien!$C$21,BE20&lt;=Ferien!$D$21))),1,0)</f>
        <v>0</v>
      </c>
      <c r="BJ20" s="811" t="str">
        <f ca="1">IF(BL20="","",Feiertage!C13)</f>
        <v>Tag der Deutschen Einheit</v>
      </c>
      <c r="BK20" s="812"/>
      <c r="BL20" s="338">
        <f ca="1">Feiertage!B13</f>
        <v>45568</v>
      </c>
      <c r="BM20" s="304">
        <f t="shared" ca="1" si="30"/>
        <v>45568</v>
      </c>
      <c r="BN20" s="314">
        <f t="shared" ca="1" si="31"/>
        <v>45569</v>
      </c>
      <c r="BO20" s="315">
        <f t="shared" ca="1" si="32"/>
        <v>45569</v>
      </c>
      <c r="BP20" s="253" t="str">
        <f t="shared" si="33"/>
        <v/>
      </c>
      <c r="BQ20" s="236">
        <v>1</v>
      </c>
      <c r="BR20" s="235" t="e">
        <f t="shared" si="34"/>
        <v>#VALUE!</v>
      </c>
      <c r="BS20" s="235" t="e">
        <f t="shared" si="35"/>
        <v>#VALUE!</v>
      </c>
      <c r="BT20" s="238"/>
      <c r="BU20" s="238"/>
      <c r="BV20" s="238"/>
    </row>
    <row r="21" spans="2:77" ht="19.5" customHeight="1" thickBot="1">
      <c r="B21" s="250">
        <f t="shared" ca="1" si="0"/>
        <v>45309</v>
      </c>
      <c r="C21" s="573" t="str">
        <f t="shared" ca="1" si="1"/>
        <v/>
      </c>
      <c r="D21" s="317" t="str">
        <f ca="1">IFERROR(VLOOKUP(B21,Mond!$B$3:$C$59,2,0),"")</f>
        <v>G</v>
      </c>
      <c r="E21" s="302" t="str">
        <f ca="1">IFERROR(IF(VLOOKUP(B21,Gießtage!$L$8:$L$98,1,0),1,0),"")</f>
        <v/>
      </c>
      <c r="F21" s="251">
        <f ca="1">IF(AND(OR(AND(B21&gt;=Ferien!$C$11,B21&lt;=Ferien!$D$11),AND(B21&gt;=Ferien!$C$12,B21&lt;=Ferien!$D$12),AND(B21&gt;=Ferien!$C$13,B21&lt;=Ferien!$D$13),AND(B21&gt;=Ferien!$C$14,B21&lt;=Ferien!$D$14),AND(B21&gt;=Ferien!$C$15,B21&lt;=Ferien!$D$15),AND(B21&gt;=Ferien!$C$16,B21&lt;=Ferien!$D$16),AND(B21&gt;=Ferien!$C$17,B21&lt;=Ferien!$D$17),AND(B21&gt;=Ferien!$C$18,B21&lt;=Ferien!$D$18),AND(B21&gt;=Ferien!$C$19,B21&lt;=Ferien!$D$19),AND(B21&gt;=Ferien!$C$20,B21&lt;=Ferien!$D$20),AND(B21&gt;=Ferien!$C$21,B21&lt;=Ferien!$D$21))),1,0)</f>
        <v>0</v>
      </c>
      <c r="G21" s="250">
        <f t="shared" ca="1" si="2"/>
        <v>45340</v>
      </c>
      <c r="H21" s="573" t="s">
        <v>258</v>
      </c>
      <c r="I21" s="317" t="str">
        <f ca="1">IFERROR(VLOOKUP(G21,Mond!$B$3:$C$59,2,0),"")</f>
        <v/>
      </c>
      <c r="J21" s="302" t="str">
        <f ca="1">IFERROR(IF(VLOOKUP(G21,Gießtage!$L$8:$L$98,1,0),1,0),"")</f>
        <v/>
      </c>
      <c r="K21" s="251">
        <f ca="1">IF(AND(OR(AND(G21&gt;=Ferien!$C$11,G21&lt;=Ferien!$D$11),AND(G21&gt;=Ferien!$C$12,G21&lt;=Ferien!$D$12),AND(G21&gt;=Ferien!$C$13,G21&lt;=Ferien!$D$13),AND(G21&gt;=Ferien!$C$14,G21&lt;=Ferien!$D$14),AND(G21&gt;=Ferien!$C$15,G21&lt;=Ferien!$D$15),AND(G21&gt;=Ferien!$C$16,G21&lt;=Ferien!$D$16),AND(G21&gt;=Ferien!$C$17,G21&lt;=Ferien!$D$17),AND(G21&gt;=Ferien!$C$18,G21&lt;=Ferien!$D$18),AND(G21&gt;=Ferien!$C$19,G21&lt;=Ferien!$D$19),AND(G21&gt;=Ferien!$C$20,G21&lt;=Ferien!$D$20),AND(G21&gt;=Ferien!$C$21,G21&lt;=Ferien!$D$21))),1,0)</f>
        <v>0</v>
      </c>
      <c r="L21" s="250">
        <f t="shared" ca="1" si="3"/>
        <v>45369</v>
      </c>
      <c r="M21" s="573" t="str">
        <f t="shared" ca="1" si="4"/>
        <v>{</v>
      </c>
      <c r="N21" s="317" t="str">
        <f ca="1">IFERROR(VLOOKUP(L21,Mond!$B$3:$C$59,2,0),"")</f>
        <v/>
      </c>
      <c r="O21" s="302">
        <f ca="1">IFERROR(IF(VLOOKUP(L21,Gießtage!$L$8:$L$98,1,0),1,0),"")</f>
        <v>1</v>
      </c>
      <c r="P21" s="251">
        <f ca="1">IF(AND(OR(AND(L21&gt;=Ferien!$C$11,L21&lt;=Ferien!$D$11),AND(L21&gt;=Ferien!$C$12,L21&lt;=Ferien!$D$12),AND(L21&gt;=Ferien!$C$13,L21&lt;=Ferien!$D$13),AND(L21&gt;=Ferien!$C$14,L21&lt;=Ferien!$D$14),AND(L21&gt;=Ferien!$C$15,L21&lt;=Ferien!$D$15),AND(L21&gt;=Ferien!$C$16,L21&lt;=Ferien!$D$16),AND(L21&gt;=Ferien!$C$17,L21&lt;=Ferien!$D$17),AND(L21&gt;=Ferien!$C$18,L21&lt;=Ferien!$D$18),AND(L21&gt;=Ferien!$C$19,L21&lt;=Ferien!$D$19),AND(L21&gt;=Ferien!$C$20,L21&lt;=Ferien!$D$20),AND(L21&gt;=Ferien!$C$21,L21&lt;=Ferien!$D$21))),1,0)</f>
        <v>0</v>
      </c>
      <c r="Q21" s="250">
        <f t="shared" ca="1" si="5"/>
        <v>45400</v>
      </c>
      <c r="R21" s="573" t="str">
        <f t="shared" ca="1" si="6"/>
        <v/>
      </c>
      <c r="S21" s="317" t="str">
        <f ca="1">IFERROR(VLOOKUP(Q21,Mond!$B$3:$C$59,2,0),"")</f>
        <v/>
      </c>
      <c r="T21" s="302" t="str">
        <f ca="1">IFERROR(IF(VLOOKUP(Q21,Gießtage!$L$8:$L$98,1,0),1,0),"")</f>
        <v/>
      </c>
      <c r="U21" s="251">
        <f ca="1">IF(AND(OR(AND(Q21&gt;=Ferien!$C$11,Q21&lt;=Ferien!$D$11),AND(Q21&gt;=Ferien!$C$12,Q21&lt;=Ferien!$D$12),AND(Q21&gt;=Ferien!$C$13,Q21&lt;=Ferien!$D$13),AND(Q21&gt;=Ferien!$C$14,Q21&lt;=Ferien!$D$14),AND(Q21&gt;=Ferien!$C$15,Q21&lt;=Ferien!$D$15),AND(Q21&gt;=Ferien!$C$16,Q21&lt;=Ferien!$D$16),AND(Q21&gt;=Ferien!$C$17,Q21&lt;=Ferien!$D$17),AND(Q21&gt;=Ferien!$C$18,Q21&lt;=Ferien!$D$18),AND(Q21&gt;=Ferien!$C$19,Q21&lt;=Ferien!$D$19),AND(Q21&gt;=Ferien!$C$20,Q21&lt;=Ferien!$D$20),AND(Q21&gt;=Ferien!$C$21,Q21&lt;=Ferien!$D$21))),1,0)</f>
        <v>0</v>
      </c>
      <c r="V21" s="250">
        <f t="shared" ca="1" si="7"/>
        <v>45430</v>
      </c>
      <c r="W21" s="573" t="str">
        <f t="shared" ca="1" si="8"/>
        <v/>
      </c>
      <c r="X21" s="317" t="str">
        <f ca="1">IFERROR(VLOOKUP(V21,Mond!$B$3:$C$59,2,0),"")</f>
        <v/>
      </c>
      <c r="Y21" s="302" t="str">
        <f ca="1">IFERROR(IF(VLOOKUP(V21,Gießtage!$L$8:$L$98,1,0),1,0),"")</f>
        <v/>
      </c>
      <c r="Z21" s="251">
        <f ca="1">IF(AND(OR(AND(V21&gt;=Ferien!$C$11,V21&lt;=Ferien!$D$11),AND(V21&gt;=Ferien!$C$12,V21&lt;=Ferien!$D$12),AND(V21&gt;=Ferien!$C$13,V21&lt;=Ferien!$D$13),AND(V21&gt;=Ferien!$C$14,V21&lt;=Ferien!$D$14),AND(V21&gt;=Ferien!$C$15,V21&lt;=Ferien!$D$15),AND(V21&gt;=Ferien!$C$16,V21&lt;=Ferien!$D$16),AND(V21&gt;=Ferien!$C$17,V21&lt;=Ferien!$D$17),AND(V21&gt;=Ferien!$C$18,V21&lt;=Ferien!$D$18),AND(V21&gt;=Ferien!$C$19,V21&lt;=Ferien!$D$19),AND(V21&gt;=Ferien!$C$20,V21&lt;=Ferien!$D$20),AND(V21&gt;=Ferien!$C$21,V21&lt;=Ferien!$D$21))),1,0)</f>
        <v>0</v>
      </c>
      <c r="AA21" s="250">
        <f t="shared" ca="1" si="9"/>
        <v>45461</v>
      </c>
      <c r="AB21" s="573" t="str">
        <f t="shared" ca="1" si="10"/>
        <v>{</v>
      </c>
      <c r="AC21" s="317" t="str">
        <f ca="1">IFERROR(VLOOKUP(AA21,Mond!$B$3:$C$59,2,0),"")</f>
        <v/>
      </c>
      <c r="AD21" s="302">
        <f ca="1">IFERROR(IF(VLOOKUP(AA21,Gießtage!$L$8:$L$98,1,0),1,0),"")</f>
        <v>1</v>
      </c>
      <c r="AE21" s="251">
        <f ca="1">IF(AND(OR(AND(AA21&gt;=Ferien!$C$11,AA21&lt;=Ferien!$D$11),AND(AA21&gt;=Ferien!$C$12,AA21&lt;=Ferien!$D$12),AND(AA21&gt;=Ferien!$C$13,AA21&lt;=Ferien!$D$13),AND(AA21&gt;=Ferien!$C$14,AA21&lt;=Ferien!$D$14),AND(AA21&gt;=Ferien!$C$15,AA21&lt;=Ferien!$D$15),AND(AA21&gt;=Ferien!$C$16,AA21&lt;=Ferien!$D$16),AND(AA21&gt;=Ferien!$C$17,AA21&lt;=Ferien!$D$17),AND(AA21&gt;=Ferien!$C$18,AA21&lt;=Ferien!$D$18),AND(AA21&gt;=Ferien!$C$19,AA21&lt;=Ferien!$D$19),AND(AA21&gt;=Ferien!$C$20,AA21&lt;=Ferien!$D$20),AND(AA21&gt;=Ferien!$C$21,AA21&lt;=Ferien!$D$21))),1,0)</f>
        <v>0</v>
      </c>
      <c r="AF21" s="250">
        <f t="shared" ca="1" si="11"/>
        <v>45491</v>
      </c>
      <c r="AG21" s="573" t="str">
        <f t="shared" ca="1" si="12"/>
        <v/>
      </c>
      <c r="AH21" s="317" t="str">
        <f ca="1">IFERROR(VLOOKUP(AF21,Mond!$B$3:$C$59,2,0),"")</f>
        <v/>
      </c>
      <c r="AI21" s="302" t="str">
        <f ca="1">IFERROR(IF(VLOOKUP(AF21,Gießtage!$L$8:$L$98,1,0),1,0),"")</f>
        <v/>
      </c>
      <c r="AJ21" s="251">
        <f ca="1">IF(AND(OR(AND(AF21&gt;=Ferien!$C$11,AF21&lt;=Ferien!$D$11),AND(AF21&gt;=Ferien!$C$12,AF21&lt;=Ferien!$D$12),AND(AF21&gt;=Ferien!$C$13,AF21&lt;=Ferien!$D$13),AND(AF21&gt;=Ferien!$C$14,AF21&lt;=Ferien!$D$14),AND(AF21&gt;=Ferien!$C$15,AF21&lt;=Ferien!$D$15),AND(AF21&gt;=Ferien!$C$16,AF21&lt;=Ferien!$D$16),AND(AF21&gt;=Ferien!$C$17,AF21&lt;=Ferien!$D$17),AND(AF21&gt;=Ferien!$C$18,AF21&lt;=Ferien!$D$18),AND(AF21&gt;=Ferien!$C$19,AF21&lt;=Ferien!$D$19),AND(AF21&gt;=Ferien!$C$20,AF21&lt;=Ferien!$D$20),AND(AF21&gt;=Ferien!$C$21,AF21&lt;=Ferien!$D$21))),1,0)</f>
        <v>0</v>
      </c>
      <c r="AK21" s="250">
        <f t="shared" ca="1" si="13"/>
        <v>45522</v>
      </c>
      <c r="AL21" s="573" t="str">
        <f t="shared" ca="1" si="14"/>
        <v/>
      </c>
      <c r="AM21" s="317" t="str">
        <f ca="1">IFERROR(VLOOKUP(AK21,Mond!$B$3:$C$59,2,0),"")</f>
        <v/>
      </c>
      <c r="AN21" s="302" t="str">
        <f ca="1">IFERROR(IF(VLOOKUP(AK21,Gießtage!$L$8:$L$98,1,0),1,0),"")</f>
        <v/>
      </c>
      <c r="AO21" s="251">
        <f ca="1">IF(AND(OR(AND(AK21&gt;=Ferien!$C$11,AK21&lt;=Ferien!$D$11),AND(AK21&gt;=Ferien!$C$12,AK21&lt;=Ferien!$D$12),AND(AK21&gt;=Ferien!$C$13,AK21&lt;=Ferien!$D$13),AND(AK21&gt;=Ferien!$C$14,AK21&lt;=Ferien!$D$14),AND(AK21&gt;=Ferien!$C$15,AK21&lt;=Ferien!$D$15),AND(AK21&gt;=Ferien!$C$16,AK21&lt;=Ferien!$D$16),AND(AK21&gt;=Ferien!$C$17,AK21&lt;=Ferien!$D$17),AND(AK21&gt;=Ferien!$C$18,AK21&lt;=Ferien!$D$18),AND(AK21&gt;=Ferien!$C$19,AK21&lt;=Ferien!$D$19),AND(AK21&gt;=Ferien!$C$20,AK21&lt;=Ferien!$D$20),AND(AK21&gt;=Ferien!$C$21,AK21&lt;=Ferien!$D$21))),1,0)</f>
        <v>1</v>
      </c>
      <c r="AP21" s="250">
        <f t="shared" ca="1" si="15"/>
        <v>45553</v>
      </c>
      <c r="AQ21" s="573" t="str">
        <f t="shared" ca="1" si="16"/>
        <v>{</v>
      </c>
      <c r="AR21" s="317" t="str">
        <f ca="1">IFERROR(VLOOKUP(AP21,Mond!$B$3:$C$59,2,0),"")</f>
        <v>@</v>
      </c>
      <c r="AS21" s="302">
        <f ca="1">IFERROR(IF(VLOOKUP(AP21,Gießtage!$L$8:$L$98,1,0),1,0),"")</f>
        <v>1</v>
      </c>
      <c r="AT21" s="251">
        <f ca="1">IF(AND(OR(AND(AP21&gt;=Ferien!$C$11,AP21&lt;=Ferien!$D$11),AND(AP21&gt;=Ferien!$C$12,AP21&lt;=Ferien!$D$12),AND(AP21&gt;=Ferien!$C$13,AP21&lt;=Ferien!$D$13),AND(AP21&gt;=Ferien!$C$14,AP21&lt;=Ferien!$D$14),AND(AP21&gt;=Ferien!$C$15,AP21&lt;=Ferien!$D$15),AND(AP21&gt;=Ferien!$C$16,AP21&lt;=Ferien!$D$16),AND(AP21&gt;=Ferien!$C$17,AP21&lt;=Ferien!$D$17),AND(AP21&gt;=Ferien!$C$18,AP21&lt;=Ferien!$D$18),AND(AP21&gt;=Ferien!$C$19,AP21&lt;=Ferien!$D$19),AND(AP21&gt;=Ferien!$C$20,AP21&lt;=Ferien!$D$20),AND(AP21&gt;=Ferien!$C$21,AP21&lt;=Ferien!$D$21))),1,0)</f>
        <v>0</v>
      </c>
      <c r="AU21" s="250">
        <f t="shared" ca="1" si="17"/>
        <v>45583</v>
      </c>
      <c r="AV21" s="573" t="str">
        <f t="shared" ca="1" si="18"/>
        <v/>
      </c>
      <c r="AW21" s="317" t="str">
        <f ca="1">IFERROR(VLOOKUP(AU21,Mond!$B$3:$C$59,2,0),"")</f>
        <v/>
      </c>
      <c r="AX21" s="302" t="str">
        <f ca="1">IFERROR(IF(VLOOKUP(AU21,Gießtage!$L$8:$L$98,1,0),1,0),"")</f>
        <v/>
      </c>
      <c r="AY21" s="251">
        <f ca="1">IF(AND(OR(AND(AU21&gt;=Ferien!$C$11,AU21&lt;=Ferien!$D$11),AND(AU21&gt;=Ferien!$C$12,AU21&lt;=Ferien!$D$12),AND(AU21&gt;=Ferien!$C$13,AU21&lt;=Ferien!$D$13),AND(AU21&gt;=Ferien!$C$14,AU21&lt;=Ferien!$D$14),AND(AU21&gt;=Ferien!$C$15,AU21&lt;=Ferien!$D$15),AND(AU21&gt;=Ferien!$C$16,AU21&lt;=Ferien!$D$16),AND(AU21&gt;=Ferien!$C$17,AU21&lt;=Ferien!$D$17),AND(AU21&gt;=Ferien!$C$18,AU21&lt;=Ferien!$D$18),AND(AU21&gt;=Ferien!$C$19,AU21&lt;=Ferien!$D$19),AND(AU21&gt;=Ferien!$C$20,AU21&lt;=Ferien!$D$20),AND(AU21&gt;=Ferien!$C$21,AU21&lt;=Ferien!$D$21))),1,0)</f>
        <v>0</v>
      </c>
      <c r="AZ21" s="250">
        <f t="shared" ca="1" si="19"/>
        <v>45614</v>
      </c>
      <c r="BA21" s="573" t="str">
        <f t="shared" ca="1" si="20"/>
        <v>{</v>
      </c>
      <c r="BB21" s="317" t="str">
        <f ca="1">IFERROR(VLOOKUP(AZ21,Mond!$B$3:$C$59,2,0),"")</f>
        <v/>
      </c>
      <c r="BC21" s="302">
        <f ca="1">IFERROR(IF(VLOOKUP(AZ21,Gießtage!$L$8:$L$98,1,0),1,0),"")</f>
        <v>1</v>
      </c>
      <c r="BD21" s="251">
        <f ca="1">IF(AND(OR(AND(AZ21&gt;=Ferien!$C$11,AZ21&lt;=Ferien!$D$11),AND(AZ21&gt;=Ferien!$C$12,AZ21&lt;=Ferien!$D$12),AND(AZ21&gt;=Ferien!$C$13,AZ21&lt;=Ferien!$D$13),AND(AZ21&gt;=Ferien!$C$14,AZ21&lt;=Ferien!$D$14),AND(AZ21&gt;=Ferien!$C$15,AZ21&lt;=Ferien!$D$15),AND(AZ21&gt;=Ferien!$C$16,AZ21&lt;=Ferien!$D$16),AND(AZ21&gt;=Ferien!$C$17,AZ21&lt;=Ferien!$D$17),AND(AZ21&gt;=Ferien!$C$18,AZ21&lt;=Ferien!$D$18),AND(AZ21&gt;=Ferien!$C$19,AZ21&lt;=Ferien!$D$19),AND(AZ21&gt;=Ferien!$C$20,AZ21&lt;=Ferien!$D$20),AND(AZ21&gt;=Ferien!$C$21,AZ21&lt;=Ferien!$D$21))),1,0)</f>
        <v>0</v>
      </c>
      <c r="BE21" s="250">
        <f t="shared" ca="1" si="21"/>
        <v>45644</v>
      </c>
      <c r="BF21" s="573" t="str">
        <f t="shared" ca="1" si="22"/>
        <v/>
      </c>
      <c r="BG21" s="317" t="str">
        <f ca="1">IFERROR(VLOOKUP(BE21,Mond!$B$3:$C$59,2,0),"")</f>
        <v/>
      </c>
      <c r="BH21" s="302" t="str">
        <f ca="1">IFERROR(IF(VLOOKUP(BE21,Gießtage!$L$8:$L$98,1,0),1,0),"")</f>
        <v/>
      </c>
      <c r="BI21" s="252">
        <f ca="1">IF(AND(OR(AND(BE21&gt;=Ferien!$C$11,BE21&lt;=Ferien!$D$11),AND(BE21&gt;=Ferien!$C$12,BE21&lt;=Ferien!$D$12),AND(BE21&gt;=Ferien!$C$13,BE21&lt;=Ferien!$D$13),AND(BE21&gt;=Ferien!$C$14,BE21&lt;=Ferien!$D$14),AND(BE21&gt;=Ferien!$C$15,BE21&lt;=Ferien!$D$15),AND(BE21&gt;=Ferien!$C$16,BE21&lt;=Ferien!$D$16),AND(BE21&gt;=Ferien!$C$17,BE21&lt;=Ferien!$D$17),AND(BE21&gt;=Ferien!$C$18,BE21&lt;=Ferien!$D$18),AND(BE21&gt;=Ferien!$C$19,BE21&lt;=Ferien!$D$19),AND(BE21&gt;=Ferien!$C$20,BE21&lt;=Ferien!$D$20),AND(BE21&gt;=Ferien!$C$21,BE21&lt;=Ferien!$D$21))),1,0)</f>
        <v>0</v>
      </c>
      <c r="BJ21" s="811" t="str">
        <f>IF(BL21="","",Feiertage!C14)</f>
        <v/>
      </c>
      <c r="BK21" s="812"/>
      <c r="BL21" s="338" t="str">
        <f>Feiertage!B14</f>
        <v/>
      </c>
      <c r="BM21" s="304" t="str">
        <f t="shared" si="30"/>
        <v/>
      </c>
      <c r="BN21" s="314" t="str">
        <f t="shared" si="31"/>
        <v/>
      </c>
      <c r="BO21" s="315" t="str">
        <f t="shared" si="32"/>
        <v/>
      </c>
      <c r="BP21" s="253">
        <f t="shared" ca="1" si="33"/>
        <v>4</v>
      </c>
      <c r="BQ21" s="236">
        <v>1</v>
      </c>
      <c r="BR21" s="235">
        <f t="shared" ca="1" si="34"/>
        <v>0</v>
      </c>
      <c r="BS21" s="235">
        <f t="shared" ca="1" si="35"/>
        <v>0</v>
      </c>
      <c r="BT21" s="238"/>
      <c r="BU21" s="238"/>
      <c r="BV21" s="238"/>
    </row>
    <row r="22" spans="2:77" ht="19.5" customHeight="1" thickBot="1">
      <c r="B22" s="250">
        <f t="shared" ca="1" si="0"/>
        <v>45310</v>
      </c>
      <c r="C22" s="573" t="str">
        <f t="shared" ca="1" si="1"/>
        <v/>
      </c>
      <c r="D22" s="317" t="str">
        <f ca="1">IFERROR(VLOOKUP(B22,Mond!$B$3:$C$59,2,0),"")</f>
        <v/>
      </c>
      <c r="E22" s="302" t="str">
        <f ca="1">IFERROR(IF(VLOOKUP(B22,Gießtage!$L$8:$L$98,1,0),1,0),"")</f>
        <v/>
      </c>
      <c r="F22" s="251">
        <f ca="1">IF(AND(OR(AND(B22&gt;=Ferien!$C$11,B22&lt;=Ferien!$D$11),AND(B22&gt;=Ferien!$C$12,B22&lt;=Ferien!$D$12),AND(B22&gt;=Ferien!$C$13,B22&lt;=Ferien!$D$13),AND(B22&gt;=Ferien!$C$14,B22&lt;=Ferien!$D$14),AND(B22&gt;=Ferien!$C$15,B22&lt;=Ferien!$D$15),AND(B22&gt;=Ferien!$C$16,B22&lt;=Ferien!$D$16),AND(B22&gt;=Ferien!$C$17,B22&lt;=Ferien!$D$17),AND(B22&gt;=Ferien!$C$18,B22&lt;=Ferien!$D$18),AND(B22&gt;=Ferien!$C$19,B22&lt;=Ferien!$D$19),AND(B22&gt;=Ferien!$C$20,B22&lt;=Ferien!$D$20),AND(B22&gt;=Ferien!$C$21,B22&lt;=Ferien!$D$21))),1,0)</f>
        <v>0</v>
      </c>
      <c r="G22" s="250">
        <f t="shared" ca="1" si="2"/>
        <v>45341</v>
      </c>
      <c r="H22" s="573" t="s">
        <v>258</v>
      </c>
      <c r="I22" s="317" t="str">
        <f ca="1">IFERROR(VLOOKUP(G22,Mond!$B$3:$C$59,2,0),"")</f>
        <v/>
      </c>
      <c r="J22" s="302">
        <f ca="1">IFERROR(IF(VLOOKUP(G22,Gießtage!$L$8:$L$98,1,0),1,0),"")</f>
        <v>1</v>
      </c>
      <c r="K22" s="251">
        <f ca="1">IF(AND(OR(AND(G22&gt;=Ferien!$C$11,G22&lt;=Ferien!$D$11),AND(G22&gt;=Ferien!$C$12,G22&lt;=Ferien!$D$12),AND(G22&gt;=Ferien!$C$13,G22&lt;=Ferien!$D$13),AND(G22&gt;=Ferien!$C$14,G22&lt;=Ferien!$D$14),AND(G22&gt;=Ferien!$C$15,G22&lt;=Ferien!$D$15),AND(G22&gt;=Ferien!$C$16,G22&lt;=Ferien!$D$16),AND(G22&gt;=Ferien!$C$17,G22&lt;=Ferien!$D$17),AND(G22&gt;=Ferien!$C$18,G22&lt;=Ferien!$D$18),AND(G22&gt;=Ferien!$C$19,G22&lt;=Ferien!$D$19),AND(G22&gt;=Ferien!$C$20,G22&lt;=Ferien!$D$20),AND(G22&gt;=Ferien!$C$21,G22&lt;=Ferien!$D$21))),1,0)</f>
        <v>0</v>
      </c>
      <c r="L22" s="250">
        <f t="shared" ca="1" si="3"/>
        <v>45370</v>
      </c>
      <c r="M22" s="573" t="str">
        <f t="shared" ca="1" si="4"/>
        <v>{</v>
      </c>
      <c r="N22" s="317" t="str">
        <f ca="1">IFERROR(VLOOKUP(L22,Mond!$B$3:$C$59,2,0),"")</f>
        <v/>
      </c>
      <c r="O22" s="302">
        <f ca="1">IFERROR(IF(VLOOKUP(L22,Gießtage!$L$8:$L$98,1,0),1,0),"")</f>
        <v>1</v>
      </c>
      <c r="P22" s="251">
        <f ca="1">IF(AND(OR(AND(L22&gt;=Ferien!$C$11,L22&lt;=Ferien!$D$11),AND(L22&gt;=Ferien!$C$12,L22&lt;=Ferien!$D$12),AND(L22&gt;=Ferien!$C$13,L22&lt;=Ferien!$D$13),AND(L22&gt;=Ferien!$C$14,L22&lt;=Ferien!$D$14),AND(L22&gt;=Ferien!$C$15,L22&lt;=Ferien!$D$15),AND(L22&gt;=Ferien!$C$16,L22&lt;=Ferien!$D$16),AND(L22&gt;=Ferien!$C$17,L22&lt;=Ferien!$D$17),AND(L22&gt;=Ferien!$C$18,L22&lt;=Ferien!$D$18),AND(L22&gt;=Ferien!$C$19,L22&lt;=Ferien!$D$19),AND(L22&gt;=Ferien!$C$20,L22&lt;=Ferien!$D$20),AND(L22&gt;=Ferien!$C$21,L22&lt;=Ferien!$D$21))),1,0)</f>
        <v>0</v>
      </c>
      <c r="Q22" s="250">
        <f t="shared" ca="1" si="5"/>
        <v>45401</v>
      </c>
      <c r="R22" s="573" t="str">
        <f t="shared" ca="1" si="6"/>
        <v/>
      </c>
      <c r="S22" s="317" t="str">
        <f ca="1">IFERROR(VLOOKUP(Q22,Mond!$B$3:$C$59,2,0),"")</f>
        <v/>
      </c>
      <c r="T22" s="302" t="str">
        <f ca="1">IFERROR(IF(VLOOKUP(Q22,Gießtage!$L$8:$L$98,1,0),1,0),"")</f>
        <v/>
      </c>
      <c r="U22" s="251">
        <f ca="1">IF(AND(OR(AND(Q22&gt;=Ferien!$C$11,Q22&lt;=Ferien!$D$11),AND(Q22&gt;=Ferien!$C$12,Q22&lt;=Ferien!$D$12),AND(Q22&gt;=Ferien!$C$13,Q22&lt;=Ferien!$D$13),AND(Q22&gt;=Ferien!$C$14,Q22&lt;=Ferien!$D$14),AND(Q22&gt;=Ferien!$C$15,Q22&lt;=Ferien!$D$15),AND(Q22&gt;=Ferien!$C$16,Q22&lt;=Ferien!$D$16),AND(Q22&gt;=Ferien!$C$17,Q22&lt;=Ferien!$D$17),AND(Q22&gt;=Ferien!$C$18,Q22&lt;=Ferien!$D$18),AND(Q22&gt;=Ferien!$C$19,Q22&lt;=Ferien!$D$19),AND(Q22&gt;=Ferien!$C$20,Q22&lt;=Ferien!$D$20),AND(Q22&gt;=Ferien!$C$21,Q22&lt;=Ferien!$D$21))),1,0)</f>
        <v>0</v>
      </c>
      <c r="V22" s="250">
        <f t="shared" ca="1" si="7"/>
        <v>45431</v>
      </c>
      <c r="W22" s="573" t="str">
        <f t="shared" ca="1" si="8"/>
        <v/>
      </c>
      <c r="X22" s="317" t="str">
        <f ca="1">IFERROR(VLOOKUP(V22,Mond!$B$3:$C$59,2,0),"")</f>
        <v/>
      </c>
      <c r="Y22" s="302" t="str">
        <f ca="1">IFERROR(IF(VLOOKUP(V22,Gießtage!$L$8:$L$98,1,0),1,0),"")</f>
        <v/>
      </c>
      <c r="Z22" s="251">
        <f ca="1">IF(AND(OR(AND(V22&gt;=Ferien!$C$11,V22&lt;=Ferien!$D$11),AND(V22&gt;=Ferien!$C$12,V22&lt;=Ferien!$D$12),AND(V22&gt;=Ferien!$C$13,V22&lt;=Ferien!$D$13),AND(V22&gt;=Ferien!$C$14,V22&lt;=Ferien!$D$14),AND(V22&gt;=Ferien!$C$15,V22&lt;=Ferien!$D$15),AND(V22&gt;=Ferien!$C$16,V22&lt;=Ferien!$D$16),AND(V22&gt;=Ferien!$C$17,V22&lt;=Ferien!$D$17),AND(V22&gt;=Ferien!$C$18,V22&lt;=Ferien!$D$18),AND(V22&gt;=Ferien!$C$19,V22&lt;=Ferien!$D$19),AND(V22&gt;=Ferien!$C$20,V22&lt;=Ferien!$D$20),AND(V22&gt;=Ferien!$C$21,V22&lt;=Ferien!$D$21))),1,0)</f>
        <v>0</v>
      </c>
      <c r="AA22" s="250">
        <f t="shared" ca="1" si="9"/>
        <v>45462</v>
      </c>
      <c r="AB22" s="573" t="str">
        <f t="shared" ca="1" si="10"/>
        <v>{</v>
      </c>
      <c r="AC22" s="317" t="str">
        <f ca="1">IFERROR(VLOOKUP(AA22,Mond!$B$3:$C$59,2,0),"")</f>
        <v/>
      </c>
      <c r="AD22" s="302">
        <f ca="1">IFERROR(IF(VLOOKUP(AA22,Gießtage!$L$8:$L$98,1,0),1,0),"")</f>
        <v>1</v>
      </c>
      <c r="AE22" s="251">
        <f ca="1">IF(AND(OR(AND(AA22&gt;=Ferien!$C$11,AA22&lt;=Ferien!$D$11),AND(AA22&gt;=Ferien!$C$12,AA22&lt;=Ferien!$D$12),AND(AA22&gt;=Ferien!$C$13,AA22&lt;=Ferien!$D$13),AND(AA22&gt;=Ferien!$C$14,AA22&lt;=Ferien!$D$14),AND(AA22&gt;=Ferien!$C$15,AA22&lt;=Ferien!$D$15),AND(AA22&gt;=Ferien!$C$16,AA22&lt;=Ferien!$D$16),AND(AA22&gt;=Ferien!$C$17,AA22&lt;=Ferien!$D$17),AND(AA22&gt;=Ferien!$C$18,AA22&lt;=Ferien!$D$18),AND(AA22&gt;=Ferien!$C$19,AA22&lt;=Ferien!$D$19),AND(AA22&gt;=Ferien!$C$20,AA22&lt;=Ferien!$D$20),AND(AA22&gt;=Ferien!$C$21,AA22&lt;=Ferien!$D$21))),1,0)</f>
        <v>0</v>
      </c>
      <c r="AF22" s="250">
        <f t="shared" ca="1" si="11"/>
        <v>45492</v>
      </c>
      <c r="AG22" s="573" t="str">
        <f t="shared" ca="1" si="12"/>
        <v/>
      </c>
      <c r="AH22" s="317" t="str">
        <f ca="1">IFERROR(VLOOKUP(AF22,Mond!$B$3:$C$59,2,0),"")</f>
        <v/>
      </c>
      <c r="AI22" s="302" t="str">
        <f ca="1">IFERROR(IF(VLOOKUP(AF22,Gießtage!$L$8:$L$98,1,0),1,0),"")</f>
        <v/>
      </c>
      <c r="AJ22" s="251">
        <f ca="1">IF(AND(OR(AND(AF22&gt;=Ferien!$C$11,AF22&lt;=Ferien!$D$11),AND(AF22&gt;=Ferien!$C$12,AF22&lt;=Ferien!$D$12),AND(AF22&gt;=Ferien!$C$13,AF22&lt;=Ferien!$D$13),AND(AF22&gt;=Ferien!$C$14,AF22&lt;=Ferien!$D$14),AND(AF22&gt;=Ferien!$C$15,AF22&lt;=Ferien!$D$15),AND(AF22&gt;=Ferien!$C$16,AF22&lt;=Ferien!$D$16),AND(AF22&gt;=Ferien!$C$17,AF22&lt;=Ferien!$D$17),AND(AF22&gt;=Ferien!$C$18,AF22&lt;=Ferien!$D$18),AND(AF22&gt;=Ferien!$C$19,AF22&lt;=Ferien!$D$19),AND(AF22&gt;=Ferien!$C$20,AF22&lt;=Ferien!$D$20),AND(AF22&gt;=Ferien!$C$21,AF22&lt;=Ferien!$D$21))),1,0)</f>
        <v>0</v>
      </c>
      <c r="AK22" s="250">
        <f t="shared" ca="1" si="13"/>
        <v>45523</v>
      </c>
      <c r="AL22" s="573" t="str">
        <f t="shared" ca="1" si="14"/>
        <v/>
      </c>
      <c r="AM22" s="317" t="str">
        <f ca="1">IFERROR(VLOOKUP(AK22,Mond!$B$3:$C$59,2,0),"")</f>
        <v>@</v>
      </c>
      <c r="AN22" s="302" t="str">
        <f ca="1">IFERROR(IF(VLOOKUP(AK22,Gießtage!$L$8:$L$98,1,0),1,0),"")</f>
        <v/>
      </c>
      <c r="AO22" s="251">
        <f ca="1">IF(AND(OR(AND(AK22&gt;=Ferien!$C$11,AK22&lt;=Ferien!$D$11),AND(AK22&gt;=Ferien!$C$12,AK22&lt;=Ferien!$D$12),AND(AK22&gt;=Ferien!$C$13,AK22&lt;=Ferien!$D$13),AND(AK22&gt;=Ferien!$C$14,AK22&lt;=Ferien!$D$14),AND(AK22&gt;=Ferien!$C$15,AK22&lt;=Ferien!$D$15),AND(AK22&gt;=Ferien!$C$16,AK22&lt;=Ferien!$D$16),AND(AK22&gt;=Ferien!$C$17,AK22&lt;=Ferien!$D$17),AND(AK22&gt;=Ferien!$C$18,AK22&lt;=Ferien!$D$18),AND(AK22&gt;=Ferien!$C$19,AK22&lt;=Ferien!$D$19),AND(AK22&gt;=Ferien!$C$20,AK22&lt;=Ferien!$D$20),AND(AK22&gt;=Ferien!$C$21,AK22&lt;=Ferien!$D$21))),1,0)</f>
        <v>1</v>
      </c>
      <c r="AP22" s="250">
        <f t="shared" ca="1" si="15"/>
        <v>45554</v>
      </c>
      <c r="AQ22" s="573" t="str">
        <f t="shared" ca="1" si="16"/>
        <v/>
      </c>
      <c r="AR22" s="317" t="str">
        <f ca="1">IFERROR(VLOOKUP(AP22,Mond!$B$3:$C$59,2,0),"")</f>
        <v/>
      </c>
      <c r="AS22" s="302" t="str">
        <f ca="1">IFERROR(IF(VLOOKUP(AP22,Gießtage!$L$8:$L$98,1,0),1,0),"")</f>
        <v/>
      </c>
      <c r="AT22" s="251">
        <f ca="1">IF(AND(OR(AND(AP22&gt;=Ferien!$C$11,AP22&lt;=Ferien!$D$11),AND(AP22&gt;=Ferien!$C$12,AP22&lt;=Ferien!$D$12),AND(AP22&gt;=Ferien!$C$13,AP22&lt;=Ferien!$D$13),AND(AP22&gt;=Ferien!$C$14,AP22&lt;=Ferien!$D$14),AND(AP22&gt;=Ferien!$C$15,AP22&lt;=Ferien!$D$15),AND(AP22&gt;=Ferien!$C$16,AP22&lt;=Ferien!$D$16),AND(AP22&gt;=Ferien!$C$17,AP22&lt;=Ferien!$D$17),AND(AP22&gt;=Ferien!$C$18,AP22&lt;=Ferien!$D$18),AND(AP22&gt;=Ferien!$C$19,AP22&lt;=Ferien!$D$19),AND(AP22&gt;=Ferien!$C$20,AP22&lt;=Ferien!$D$20),AND(AP22&gt;=Ferien!$C$21,AP22&lt;=Ferien!$D$21))),1,0)</f>
        <v>0</v>
      </c>
      <c r="AU22" s="250">
        <f t="shared" ca="1" si="17"/>
        <v>45584</v>
      </c>
      <c r="AV22" s="573" t="str">
        <f t="shared" ca="1" si="18"/>
        <v/>
      </c>
      <c r="AW22" s="317" t="str">
        <f ca="1">IFERROR(VLOOKUP(AU22,Mond!$B$3:$C$59,2,0),"")</f>
        <v/>
      </c>
      <c r="AX22" s="302" t="str">
        <f ca="1">IFERROR(IF(VLOOKUP(AU22,Gießtage!$L$8:$L$98,1,0),1,0),"")</f>
        <v/>
      </c>
      <c r="AY22" s="251">
        <f ca="1">IF(AND(OR(AND(AU22&gt;=Ferien!$C$11,AU22&lt;=Ferien!$D$11),AND(AU22&gt;=Ferien!$C$12,AU22&lt;=Ferien!$D$12),AND(AU22&gt;=Ferien!$C$13,AU22&lt;=Ferien!$D$13),AND(AU22&gt;=Ferien!$C$14,AU22&lt;=Ferien!$D$14),AND(AU22&gt;=Ferien!$C$15,AU22&lt;=Ferien!$D$15),AND(AU22&gt;=Ferien!$C$16,AU22&lt;=Ferien!$D$16),AND(AU22&gt;=Ferien!$C$17,AU22&lt;=Ferien!$D$17),AND(AU22&gt;=Ferien!$C$18,AU22&lt;=Ferien!$D$18),AND(AU22&gt;=Ferien!$C$19,AU22&lt;=Ferien!$D$19),AND(AU22&gt;=Ferien!$C$20,AU22&lt;=Ferien!$D$20),AND(AU22&gt;=Ferien!$C$21,AU22&lt;=Ferien!$D$21))),1,0)</f>
        <v>0</v>
      </c>
      <c r="AZ22" s="250">
        <f t="shared" ca="1" si="19"/>
        <v>45615</v>
      </c>
      <c r="BA22" s="573" t="str">
        <f t="shared" ca="1" si="20"/>
        <v>{</v>
      </c>
      <c r="BB22" s="317" t="str">
        <f ca="1">IFERROR(VLOOKUP(AZ22,Mond!$B$3:$C$59,2,0),"")</f>
        <v/>
      </c>
      <c r="BC22" s="302">
        <f ca="1">IFERROR(IF(VLOOKUP(AZ22,Gießtage!$L$8:$L$98,1,0),1,0),"")</f>
        <v>1</v>
      </c>
      <c r="BD22" s="251">
        <f ca="1">IF(AND(OR(AND(AZ22&gt;=Ferien!$C$11,AZ22&lt;=Ferien!$D$11),AND(AZ22&gt;=Ferien!$C$12,AZ22&lt;=Ferien!$D$12),AND(AZ22&gt;=Ferien!$C$13,AZ22&lt;=Ferien!$D$13),AND(AZ22&gt;=Ferien!$C$14,AZ22&lt;=Ferien!$D$14),AND(AZ22&gt;=Ferien!$C$15,AZ22&lt;=Ferien!$D$15),AND(AZ22&gt;=Ferien!$C$16,AZ22&lt;=Ferien!$D$16),AND(AZ22&gt;=Ferien!$C$17,AZ22&lt;=Ferien!$D$17),AND(AZ22&gt;=Ferien!$C$18,AZ22&lt;=Ferien!$D$18),AND(AZ22&gt;=Ferien!$C$19,AZ22&lt;=Ferien!$D$19),AND(AZ22&gt;=Ferien!$C$20,AZ22&lt;=Ferien!$D$20),AND(AZ22&gt;=Ferien!$C$21,AZ22&lt;=Ferien!$D$21))),1,0)</f>
        <v>0</v>
      </c>
      <c r="BE22" s="250">
        <f t="shared" ca="1" si="21"/>
        <v>45645</v>
      </c>
      <c r="BF22" s="573" t="str">
        <f t="shared" ca="1" si="22"/>
        <v/>
      </c>
      <c r="BG22" s="317" t="str">
        <f ca="1">IFERROR(VLOOKUP(BE22,Mond!$B$3:$C$59,2,0),"")</f>
        <v/>
      </c>
      <c r="BH22" s="302" t="str">
        <f ca="1">IFERROR(IF(VLOOKUP(BE22,Gießtage!$L$8:$L$98,1,0),1,0),"")</f>
        <v/>
      </c>
      <c r="BI22" s="252">
        <f ca="1">IF(AND(OR(AND(BE22&gt;=Ferien!$C$11,BE22&lt;=Ferien!$D$11),AND(BE22&gt;=Ferien!$C$12,BE22&lt;=Ferien!$D$12),AND(BE22&gt;=Ferien!$C$13,BE22&lt;=Ferien!$D$13),AND(BE22&gt;=Ferien!$C$14,BE22&lt;=Ferien!$D$14),AND(BE22&gt;=Ferien!$C$15,BE22&lt;=Ferien!$D$15),AND(BE22&gt;=Ferien!$C$16,BE22&lt;=Ferien!$D$16),AND(BE22&gt;=Ferien!$C$17,BE22&lt;=Ferien!$D$17),AND(BE22&gt;=Ferien!$C$18,BE22&lt;=Ferien!$D$18),AND(BE22&gt;=Ferien!$C$19,BE22&lt;=Ferien!$D$19),AND(BE22&gt;=Ferien!$C$20,BE22&lt;=Ferien!$D$20),AND(BE22&gt;=Ferien!$C$21,BE22&lt;=Ferien!$D$21))),1,0)</f>
        <v>0</v>
      </c>
      <c r="BJ22" s="811" t="str">
        <f ca="1">IF(BL22="","",Feiertage!C15)</f>
        <v>Allerheiligen (BY reg.)</v>
      </c>
      <c r="BK22" s="812"/>
      <c r="BL22" s="338">
        <f ca="1">Feiertage!B15</f>
        <v>45597</v>
      </c>
      <c r="BM22" s="304">
        <f t="shared" ca="1" si="30"/>
        <v>45597</v>
      </c>
      <c r="BN22" s="314" t="str">
        <f t="shared" ca="1" si="31"/>
        <v/>
      </c>
      <c r="BO22" s="315" t="str">
        <f t="shared" ca="1" si="32"/>
        <v/>
      </c>
      <c r="BP22" s="253" t="str">
        <f t="shared" si="33"/>
        <v/>
      </c>
      <c r="BQ22" s="236">
        <v>1</v>
      </c>
      <c r="BR22" s="235" t="e">
        <f t="shared" si="34"/>
        <v>#VALUE!</v>
      </c>
      <c r="BS22" s="235" t="e">
        <f t="shared" si="35"/>
        <v>#VALUE!</v>
      </c>
      <c r="BT22" s="238"/>
      <c r="BU22" s="238"/>
      <c r="BV22" s="238"/>
    </row>
    <row r="23" spans="2:77" ht="19.5" customHeight="1" thickBot="1">
      <c r="B23" s="250">
        <f t="shared" ca="1" si="0"/>
        <v>45311</v>
      </c>
      <c r="C23" s="573" t="str">
        <f t="shared" ca="1" si="1"/>
        <v/>
      </c>
      <c r="D23" s="317" t="str">
        <f ca="1">IFERROR(VLOOKUP(B23,Mond!$B$3:$C$59,2,0),"")</f>
        <v/>
      </c>
      <c r="E23" s="302" t="str">
        <f ca="1">IFERROR(IF(VLOOKUP(B23,Gießtage!$L$8:$L$98,1,0),1,0),"")</f>
        <v/>
      </c>
      <c r="F23" s="251">
        <f ca="1">IF(AND(OR(AND(B23&gt;=Ferien!$C$11,B23&lt;=Ferien!$D$11),AND(B23&gt;=Ferien!$C$12,B23&lt;=Ferien!$D$12),AND(B23&gt;=Ferien!$C$13,B23&lt;=Ferien!$D$13),AND(B23&gt;=Ferien!$C$14,B23&lt;=Ferien!$D$14),AND(B23&gt;=Ferien!$C$15,B23&lt;=Ferien!$D$15),AND(B23&gt;=Ferien!$C$16,B23&lt;=Ferien!$D$16),AND(B23&gt;=Ferien!$C$17,B23&lt;=Ferien!$D$17),AND(B23&gt;=Ferien!$C$18,B23&lt;=Ferien!$D$18),AND(B23&gt;=Ferien!$C$19,B23&lt;=Ferien!$D$19),AND(B23&gt;=Ferien!$C$20,B23&lt;=Ferien!$D$20),AND(B23&gt;=Ferien!$C$21,B23&lt;=Ferien!$D$21))),1,0)</f>
        <v>0</v>
      </c>
      <c r="G23" s="250">
        <f t="shared" ca="1" si="2"/>
        <v>45342</v>
      </c>
      <c r="H23" s="573" t="s">
        <v>258</v>
      </c>
      <c r="I23" s="317" t="str">
        <f ca="1">IFERROR(VLOOKUP(G23,Mond!$B$3:$C$59,2,0),"")</f>
        <v/>
      </c>
      <c r="J23" s="302">
        <f ca="1">IFERROR(IF(VLOOKUP(G23,Gießtage!$L$8:$L$98,1,0),1,0),"")</f>
        <v>1</v>
      </c>
      <c r="K23" s="251">
        <f ca="1">IF(AND(OR(AND(G23&gt;=Ferien!$C$11,G23&lt;=Ferien!$D$11),AND(G23&gt;=Ferien!$C$12,G23&lt;=Ferien!$D$12),AND(G23&gt;=Ferien!$C$13,G23&lt;=Ferien!$D$13),AND(G23&gt;=Ferien!$C$14,G23&lt;=Ferien!$D$14),AND(G23&gt;=Ferien!$C$15,G23&lt;=Ferien!$D$15),AND(G23&gt;=Ferien!$C$16,G23&lt;=Ferien!$D$16),AND(G23&gt;=Ferien!$C$17,G23&lt;=Ferien!$D$17),AND(G23&gt;=Ferien!$C$18,G23&lt;=Ferien!$D$18),AND(G23&gt;=Ferien!$C$19,G23&lt;=Ferien!$D$19),AND(G23&gt;=Ferien!$C$20,G23&lt;=Ferien!$D$20),AND(G23&gt;=Ferien!$C$21,G23&lt;=Ferien!$D$21))),1,0)</f>
        <v>0</v>
      </c>
      <c r="L23" s="250">
        <f t="shared" ca="1" si="3"/>
        <v>45371</v>
      </c>
      <c r="M23" s="573" t="str">
        <f t="shared" ca="1" si="4"/>
        <v/>
      </c>
      <c r="N23" s="317" t="str">
        <f ca="1">IFERROR(VLOOKUP(L23,Mond!$B$3:$C$59,2,0),"")</f>
        <v/>
      </c>
      <c r="O23" s="302" t="str">
        <f ca="1">IFERROR(IF(VLOOKUP(L23,Gießtage!$L$8:$L$98,1,0),1,0),"")</f>
        <v/>
      </c>
      <c r="P23" s="251">
        <f ca="1">IF(AND(OR(AND(L23&gt;=Ferien!$C$11,L23&lt;=Ferien!$D$11),AND(L23&gt;=Ferien!$C$12,L23&lt;=Ferien!$D$12),AND(L23&gt;=Ferien!$C$13,L23&lt;=Ferien!$D$13),AND(L23&gt;=Ferien!$C$14,L23&lt;=Ferien!$D$14),AND(L23&gt;=Ferien!$C$15,L23&lt;=Ferien!$D$15),AND(L23&gt;=Ferien!$C$16,L23&lt;=Ferien!$D$16),AND(L23&gt;=Ferien!$C$17,L23&lt;=Ferien!$D$17),AND(L23&gt;=Ferien!$C$18,L23&lt;=Ferien!$D$18),AND(L23&gt;=Ferien!$C$19,L23&lt;=Ferien!$D$19),AND(L23&gt;=Ferien!$C$20,L23&lt;=Ferien!$D$20),AND(L23&gt;=Ferien!$C$21,L23&lt;=Ferien!$D$21))),1,0)</f>
        <v>0</v>
      </c>
      <c r="Q23" s="250">
        <f t="shared" ca="1" si="5"/>
        <v>45402</v>
      </c>
      <c r="R23" s="573" t="str">
        <f t="shared" ca="1" si="6"/>
        <v/>
      </c>
      <c r="S23" s="317" t="str">
        <f ca="1">IFERROR(VLOOKUP(Q23,Mond!$B$3:$C$59,2,0),"")</f>
        <v/>
      </c>
      <c r="T23" s="302" t="str">
        <f ca="1">IFERROR(IF(VLOOKUP(Q23,Gießtage!$L$8:$L$98,1,0),1,0),"")</f>
        <v/>
      </c>
      <c r="U23" s="251">
        <f ca="1">IF(AND(OR(AND(Q23&gt;=Ferien!$C$11,Q23&lt;=Ferien!$D$11),AND(Q23&gt;=Ferien!$C$12,Q23&lt;=Ferien!$D$12),AND(Q23&gt;=Ferien!$C$13,Q23&lt;=Ferien!$D$13),AND(Q23&gt;=Ferien!$C$14,Q23&lt;=Ferien!$D$14),AND(Q23&gt;=Ferien!$C$15,Q23&lt;=Ferien!$D$15),AND(Q23&gt;=Ferien!$C$16,Q23&lt;=Ferien!$D$16),AND(Q23&gt;=Ferien!$C$17,Q23&lt;=Ferien!$D$17),AND(Q23&gt;=Ferien!$C$18,Q23&lt;=Ferien!$D$18),AND(Q23&gt;=Ferien!$C$19,Q23&lt;=Ferien!$D$19),AND(Q23&gt;=Ferien!$C$20,Q23&lt;=Ferien!$D$20),AND(Q23&gt;=Ferien!$C$21,Q23&lt;=Ferien!$D$21))),1,0)</f>
        <v>0</v>
      </c>
      <c r="V23" s="250">
        <f t="shared" ca="1" si="7"/>
        <v>45432</v>
      </c>
      <c r="W23" s="573" t="str">
        <f t="shared" ca="1" si="8"/>
        <v/>
      </c>
      <c r="X23" s="317" t="str">
        <f ca="1">IFERROR(VLOOKUP(V23,Mond!$B$3:$C$59,2,0),"")</f>
        <v/>
      </c>
      <c r="Y23" s="302" t="str">
        <f ca="1">IFERROR(IF(VLOOKUP(V23,Gießtage!$L$8:$L$98,1,0),1,0),"")</f>
        <v/>
      </c>
      <c r="Z23" s="251">
        <f ca="1">IF(AND(OR(AND(V23&gt;=Ferien!$C$11,V23&lt;=Ferien!$D$11),AND(V23&gt;=Ferien!$C$12,V23&lt;=Ferien!$D$12),AND(V23&gt;=Ferien!$C$13,V23&lt;=Ferien!$D$13),AND(V23&gt;=Ferien!$C$14,V23&lt;=Ferien!$D$14),AND(V23&gt;=Ferien!$C$15,V23&lt;=Ferien!$D$15),AND(V23&gt;=Ferien!$C$16,V23&lt;=Ferien!$D$16),AND(V23&gt;=Ferien!$C$17,V23&lt;=Ferien!$D$17),AND(V23&gt;=Ferien!$C$18,V23&lt;=Ferien!$D$18),AND(V23&gt;=Ferien!$C$19,V23&lt;=Ferien!$D$19),AND(V23&gt;=Ferien!$C$20,V23&lt;=Ferien!$D$20),AND(V23&gt;=Ferien!$C$21,V23&lt;=Ferien!$D$21))),1,0)</f>
        <v>0</v>
      </c>
      <c r="AA23" s="250">
        <f t="shared" ca="1" si="9"/>
        <v>45463</v>
      </c>
      <c r="AB23" s="573" t="str">
        <f t="shared" ca="1" si="10"/>
        <v/>
      </c>
      <c r="AC23" s="317" t="str">
        <f ca="1">IFERROR(VLOOKUP(AA23,Mond!$B$3:$C$59,2,0),"")</f>
        <v/>
      </c>
      <c r="AD23" s="302" t="str">
        <f ca="1">IFERROR(IF(VLOOKUP(AA23,Gießtage!$L$8:$L$98,1,0),1,0),"")</f>
        <v/>
      </c>
      <c r="AE23" s="251">
        <f ca="1">IF(AND(OR(AND(AA23&gt;=Ferien!$C$11,AA23&lt;=Ferien!$D$11),AND(AA23&gt;=Ferien!$C$12,AA23&lt;=Ferien!$D$12),AND(AA23&gt;=Ferien!$C$13,AA23&lt;=Ferien!$D$13),AND(AA23&gt;=Ferien!$C$14,AA23&lt;=Ferien!$D$14),AND(AA23&gt;=Ferien!$C$15,AA23&lt;=Ferien!$D$15),AND(AA23&gt;=Ferien!$C$16,AA23&lt;=Ferien!$D$16),AND(AA23&gt;=Ferien!$C$17,AA23&lt;=Ferien!$D$17),AND(AA23&gt;=Ferien!$C$18,AA23&lt;=Ferien!$D$18),AND(AA23&gt;=Ferien!$C$19,AA23&lt;=Ferien!$D$19),AND(AA23&gt;=Ferien!$C$20,AA23&lt;=Ferien!$D$20),AND(AA23&gt;=Ferien!$C$21,AA23&lt;=Ferien!$D$21))),1,0)</f>
        <v>0</v>
      </c>
      <c r="AF23" s="250">
        <f t="shared" ca="1" si="11"/>
        <v>45493</v>
      </c>
      <c r="AG23" s="573" t="str">
        <f t="shared" ca="1" si="12"/>
        <v/>
      </c>
      <c r="AH23" s="317" t="str">
        <f ca="1">IFERROR(VLOOKUP(AF23,Mond!$B$3:$C$59,2,0),"")</f>
        <v/>
      </c>
      <c r="AI23" s="302" t="str">
        <f ca="1">IFERROR(IF(VLOOKUP(AF23,Gießtage!$L$8:$L$98,1,0),1,0),"")</f>
        <v/>
      </c>
      <c r="AJ23" s="251">
        <f ca="1">IF(AND(OR(AND(AF23&gt;=Ferien!$C$11,AF23&lt;=Ferien!$D$11),AND(AF23&gt;=Ferien!$C$12,AF23&lt;=Ferien!$D$12),AND(AF23&gt;=Ferien!$C$13,AF23&lt;=Ferien!$D$13),AND(AF23&gt;=Ferien!$C$14,AF23&lt;=Ferien!$D$14),AND(AF23&gt;=Ferien!$C$15,AF23&lt;=Ferien!$D$15),AND(AF23&gt;=Ferien!$C$16,AF23&lt;=Ferien!$D$16),AND(AF23&gt;=Ferien!$C$17,AF23&lt;=Ferien!$D$17),AND(AF23&gt;=Ferien!$C$18,AF23&lt;=Ferien!$D$18),AND(AF23&gt;=Ferien!$C$19,AF23&lt;=Ferien!$D$19),AND(AF23&gt;=Ferien!$C$20,AF23&lt;=Ferien!$D$20),AND(AF23&gt;=Ferien!$C$21,AF23&lt;=Ferien!$D$21))),1,0)</f>
        <v>0</v>
      </c>
      <c r="AK23" s="250">
        <f t="shared" ca="1" si="13"/>
        <v>45524</v>
      </c>
      <c r="AL23" s="573" t="str">
        <f t="shared" ca="1" si="14"/>
        <v>{</v>
      </c>
      <c r="AM23" s="317" t="str">
        <f ca="1">IFERROR(VLOOKUP(AK23,Mond!$B$3:$C$59,2,0),"")</f>
        <v/>
      </c>
      <c r="AN23" s="302">
        <f ca="1">IFERROR(IF(VLOOKUP(AK23,Gießtage!$L$8:$L$98,1,0),1,0),"")</f>
        <v>1</v>
      </c>
      <c r="AO23" s="251">
        <f ca="1">IF(AND(OR(AND(AK23&gt;=Ferien!$C$11,AK23&lt;=Ferien!$D$11),AND(AK23&gt;=Ferien!$C$12,AK23&lt;=Ferien!$D$12),AND(AK23&gt;=Ferien!$C$13,AK23&lt;=Ferien!$D$13),AND(AK23&gt;=Ferien!$C$14,AK23&lt;=Ferien!$D$14),AND(AK23&gt;=Ferien!$C$15,AK23&lt;=Ferien!$D$15),AND(AK23&gt;=Ferien!$C$16,AK23&lt;=Ferien!$D$16),AND(AK23&gt;=Ferien!$C$17,AK23&lt;=Ferien!$D$17),AND(AK23&gt;=Ferien!$C$18,AK23&lt;=Ferien!$D$18),AND(AK23&gt;=Ferien!$C$19,AK23&lt;=Ferien!$D$19),AND(AK23&gt;=Ferien!$C$20,AK23&lt;=Ferien!$D$20),AND(AK23&gt;=Ferien!$C$21,AK23&lt;=Ferien!$D$21))),1,0)</f>
        <v>1</v>
      </c>
      <c r="AP23" s="250">
        <f t="shared" ca="1" si="15"/>
        <v>45555</v>
      </c>
      <c r="AQ23" s="573" t="str">
        <f t="shared" ca="1" si="16"/>
        <v/>
      </c>
      <c r="AR23" s="317" t="str">
        <f ca="1">IFERROR(VLOOKUP(AP23,Mond!$B$3:$C$59,2,0),"")</f>
        <v/>
      </c>
      <c r="AS23" s="302" t="str">
        <f ca="1">IFERROR(IF(VLOOKUP(AP23,Gießtage!$L$8:$L$98,1,0),1,0),"")</f>
        <v/>
      </c>
      <c r="AT23" s="251">
        <f ca="1">IF(AND(OR(AND(AP23&gt;=Ferien!$C$11,AP23&lt;=Ferien!$D$11),AND(AP23&gt;=Ferien!$C$12,AP23&lt;=Ferien!$D$12),AND(AP23&gt;=Ferien!$C$13,AP23&lt;=Ferien!$D$13),AND(AP23&gt;=Ferien!$C$14,AP23&lt;=Ferien!$D$14),AND(AP23&gt;=Ferien!$C$15,AP23&lt;=Ferien!$D$15),AND(AP23&gt;=Ferien!$C$16,AP23&lt;=Ferien!$D$16),AND(AP23&gt;=Ferien!$C$17,AP23&lt;=Ferien!$D$17),AND(AP23&gt;=Ferien!$C$18,AP23&lt;=Ferien!$D$18),AND(AP23&gt;=Ferien!$C$19,AP23&lt;=Ferien!$D$19),AND(AP23&gt;=Ferien!$C$20,AP23&lt;=Ferien!$D$20),AND(AP23&gt;=Ferien!$C$21,AP23&lt;=Ferien!$D$21))),1,0)</f>
        <v>0</v>
      </c>
      <c r="AU23" s="250">
        <f t="shared" ca="1" si="17"/>
        <v>45585</v>
      </c>
      <c r="AV23" s="573" t="str">
        <f t="shared" ca="1" si="18"/>
        <v/>
      </c>
      <c r="AW23" s="317" t="str">
        <f ca="1">IFERROR(VLOOKUP(AU23,Mond!$B$3:$C$59,2,0),"")</f>
        <v/>
      </c>
      <c r="AX23" s="302" t="str">
        <f ca="1">IFERROR(IF(VLOOKUP(AU23,Gießtage!$L$8:$L$98,1,0),1,0),"")</f>
        <v/>
      </c>
      <c r="AY23" s="251">
        <f ca="1">IF(AND(OR(AND(AU23&gt;=Ferien!$C$11,AU23&lt;=Ferien!$D$11),AND(AU23&gt;=Ferien!$C$12,AU23&lt;=Ferien!$D$12),AND(AU23&gt;=Ferien!$C$13,AU23&lt;=Ferien!$D$13),AND(AU23&gt;=Ferien!$C$14,AU23&lt;=Ferien!$D$14),AND(AU23&gt;=Ferien!$C$15,AU23&lt;=Ferien!$D$15),AND(AU23&gt;=Ferien!$C$16,AU23&lt;=Ferien!$D$16),AND(AU23&gt;=Ferien!$C$17,AU23&lt;=Ferien!$D$17),AND(AU23&gt;=Ferien!$C$18,AU23&lt;=Ferien!$D$18),AND(AU23&gt;=Ferien!$C$19,AU23&lt;=Ferien!$D$19),AND(AU23&gt;=Ferien!$C$20,AU23&lt;=Ferien!$D$20),AND(AU23&gt;=Ferien!$C$21,AU23&lt;=Ferien!$D$21))),1,0)</f>
        <v>0</v>
      </c>
      <c r="AZ23" s="250">
        <f t="shared" ca="1" si="19"/>
        <v>45616</v>
      </c>
      <c r="BA23" s="573" t="str">
        <f t="shared" ca="1" si="20"/>
        <v>{</v>
      </c>
      <c r="BB23" s="317" t="str">
        <f ca="1">IFERROR(VLOOKUP(AZ23,Mond!$B$3:$C$59,2,0),"")</f>
        <v/>
      </c>
      <c r="BC23" s="302">
        <f ca="1">IFERROR(IF(VLOOKUP(AZ23,Gießtage!$L$8:$L$98,1,0),1,0),"")</f>
        <v>1</v>
      </c>
      <c r="BD23" s="251">
        <f ca="1">IF(AND(OR(AND(AZ23&gt;=Ferien!$C$11,AZ23&lt;=Ferien!$D$11),AND(AZ23&gt;=Ferien!$C$12,AZ23&lt;=Ferien!$D$12),AND(AZ23&gt;=Ferien!$C$13,AZ23&lt;=Ferien!$D$13),AND(AZ23&gt;=Ferien!$C$14,AZ23&lt;=Ferien!$D$14),AND(AZ23&gt;=Ferien!$C$15,AZ23&lt;=Ferien!$D$15),AND(AZ23&gt;=Ferien!$C$16,AZ23&lt;=Ferien!$D$16),AND(AZ23&gt;=Ferien!$C$17,AZ23&lt;=Ferien!$D$17),AND(AZ23&gt;=Ferien!$C$18,AZ23&lt;=Ferien!$D$18),AND(AZ23&gt;=Ferien!$C$19,AZ23&lt;=Ferien!$D$19),AND(AZ23&gt;=Ferien!$C$20,AZ23&lt;=Ferien!$D$20),AND(AZ23&gt;=Ferien!$C$21,AZ23&lt;=Ferien!$D$21))),1,0)</f>
        <v>0</v>
      </c>
      <c r="BE23" s="250">
        <f t="shared" ca="1" si="21"/>
        <v>45646</v>
      </c>
      <c r="BF23" s="573" t="str">
        <f t="shared" ca="1" si="22"/>
        <v/>
      </c>
      <c r="BG23" s="317" t="str">
        <f ca="1">IFERROR(VLOOKUP(BE23,Mond!$B$3:$C$59,2,0),"")</f>
        <v/>
      </c>
      <c r="BH23" s="302" t="str">
        <f ca="1">IFERROR(IF(VLOOKUP(BE23,Gießtage!$L$8:$L$98,1,0),1,0),"")</f>
        <v/>
      </c>
      <c r="BI23" s="252">
        <f ca="1">IF(AND(OR(AND(BE23&gt;=Ferien!$C$11,BE23&lt;=Ferien!$D$11),AND(BE23&gt;=Ferien!$C$12,BE23&lt;=Ferien!$D$12),AND(BE23&gt;=Ferien!$C$13,BE23&lt;=Ferien!$D$13),AND(BE23&gt;=Ferien!$C$14,BE23&lt;=Ferien!$D$14),AND(BE23&gt;=Ferien!$C$15,BE23&lt;=Ferien!$D$15),AND(BE23&gt;=Ferien!$C$16,BE23&lt;=Ferien!$D$16),AND(BE23&gt;=Ferien!$C$17,BE23&lt;=Ferien!$D$17),AND(BE23&gt;=Ferien!$C$18,BE23&lt;=Ferien!$D$18),AND(BE23&gt;=Ferien!$C$19,BE23&lt;=Ferien!$D$19),AND(BE23&gt;=Ferien!$C$20,BE23&lt;=Ferien!$D$20),AND(BE23&gt;=Ferien!$C$21,BE23&lt;=Ferien!$D$21))),1,0)</f>
        <v>0</v>
      </c>
      <c r="BJ23" s="811" t="str">
        <f>IF(BL23="","",Feiertage!C16)</f>
        <v/>
      </c>
      <c r="BK23" s="812"/>
      <c r="BL23" s="338" t="str">
        <f>Feiertage!B16</f>
        <v/>
      </c>
      <c r="BM23" s="304" t="str">
        <f t="shared" si="30"/>
        <v/>
      </c>
      <c r="BN23" s="314" t="str">
        <f t="shared" si="31"/>
        <v/>
      </c>
      <c r="BO23" s="315" t="str">
        <f t="shared" si="32"/>
        <v/>
      </c>
      <c r="BP23" s="253">
        <f t="shared" ca="1" si="33"/>
        <v>5</v>
      </c>
      <c r="BQ23" s="236">
        <v>1</v>
      </c>
      <c r="BR23" s="235">
        <f t="shared" ca="1" si="34"/>
        <v>0</v>
      </c>
      <c r="BS23" s="235">
        <f t="shared" ca="1" si="35"/>
        <v>0</v>
      </c>
      <c r="BT23" s="238"/>
      <c r="BU23" s="238"/>
      <c r="BV23" s="238"/>
    </row>
    <row r="24" spans="2:77" ht="19.5" customHeight="1" thickBot="1">
      <c r="B24" s="250">
        <f t="shared" ca="1" si="0"/>
        <v>45312</v>
      </c>
      <c r="C24" s="573" t="str">
        <f t="shared" ca="1" si="1"/>
        <v/>
      </c>
      <c r="D24" s="317" t="str">
        <f ca="1">IFERROR(VLOOKUP(B24,Mond!$B$3:$C$59,2,0),"")</f>
        <v/>
      </c>
      <c r="E24" s="302" t="str">
        <f ca="1">IFERROR(IF(VLOOKUP(B24,Gießtage!$L$8:$L$98,1,0),1,0),"")</f>
        <v/>
      </c>
      <c r="F24" s="251">
        <f ca="1">IF(AND(OR(AND(B24&gt;=Ferien!$C$11,B24&lt;=Ferien!$D$11),AND(B24&gt;=Ferien!$C$12,B24&lt;=Ferien!$D$12),AND(B24&gt;=Ferien!$C$13,B24&lt;=Ferien!$D$13),AND(B24&gt;=Ferien!$C$14,B24&lt;=Ferien!$D$14),AND(B24&gt;=Ferien!$C$15,B24&lt;=Ferien!$D$15),AND(B24&gt;=Ferien!$C$16,B24&lt;=Ferien!$D$16),AND(B24&gt;=Ferien!$C$17,B24&lt;=Ferien!$D$17),AND(B24&gt;=Ferien!$C$18,B24&lt;=Ferien!$D$18),AND(B24&gt;=Ferien!$C$19,B24&lt;=Ferien!$D$19),AND(B24&gt;=Ferien!$C$20,B24&lt;=Ferien!$D$20),AND(B24&gt;=Ferien!$C$21,B24&lt;=Ferien!$D$21))),1,0)</f>
        <v>0</v>
      </c>
      <c r="G24" s="250">
        <f t="shared" ca="1" si="2"/>
        <v>45343</v>
      </c>
      <c r="H24" s="573" t="s">
        <v>258</v>
      </c>
      <c r="I24" s="317" t="str">
        <f ca="1">IFERROR(VLOOKUP(G24,Mond!$B$3:$C$59,2,0),"")</f>
        <v/>
      </c>
      <c r="J24" s="302">
        <f ca="1">IFERROR(IF(VLOOKUP(G24,Gießtage!$L$8:$L$98,1,0),1,0),"")</f>
        <v>1</v>
      </c>
      <c r="K24" s="251">
        <f ca="1">IF(AND(OR(AND(G24&gt;=Ferien!$C$11,G24&lt;=Ferien!$D$11),AND(G24&gt;=Ferien!$C$12,G24&lt;=Ferien!$D$12),AND(G24&gt;=Ferien!$C$13,G24&lt;=Ferien!$D$13),AND(G24&gt;=Ferien!$C$14,G24&lt;=Ferien!$D$14),AND(G24&gt;=Ferien!$C$15,G24&lt;=Ferien!$D$15),AND(G24&gt;=Ferien!$C$16,G24&lt;=Ferien!$D$16),AND(G24&gt;=Ferien!$C$17,G24&lt;=Ferien!$D$17),AND(G24&gt;=Ferien!$C$18,G24&lt;=Ferien!$D$18),AND(G24&gt;=Ferien!$C$19,G24&lt;=Ferien!$D$19),AND(G24&gt;=Ferien!$C$20,G24&lt;=Ferien!$D$20),AND(G24&gt;=Ferien!$C$21,G24&lt;=Ferien!$D$21))),1,0)</f>
        <v>0</v>
      </c>
      <c r="L24" s="250">
        <f t="shared" ca="1" si="3"/>
        <v>45372</v>
      </c>
      <c r="M24" s="573" t="str">
        <f t="shared" ca="1" si="4"/>
        <v/>
      </c>
      <c r="N24" s="317" t="str">
        <f ca="1">IFERROR(VLOOKUP(L24,Mond!$B$3:$C$59,2,0),"")</f>
        <v/>
      </c>
      <c r="O24" s="302" t="str">
        <f ca="1">IFERROR(IF(VLOOKUP(L24,Gießtage!$L$8:$L$98,1,0),1,0),"")</f>
        <v/>
      </c>
      <c r="P24" s="251">
        <f ca="1">IF(AND(OR(AND(L24&gt;=Ferien!$C$11,L24&lt;=Ferien!$D$11),AND(L24&gt;=Ferien!$C$12,L24&lt;=Ferien!$D$12),AND(L24&gt;=Ferien!$C$13,L24&lt;=Ferien!$D$13),AND(L24&gt;=Ferien!$C$14,L24&lt;=Ferien!$D$14),AND(L24&gt;=Ferien!$C$15,L24&lt;=Ferien!$D$15),AND(L24&gt;=Ferien!$C$16,L24&lt;=Ferien!$D$16),AND(L24&gt;=Ferien!$C$17,L24&lt;=Ferien!$D$17),AND(L24&gt;=Ferien!$C$18,L24&lt;=Ferien!$D$18),AND(L24&gt;=Ferien!$C$19,L24&lt;=Ferien!$D$19),AND(L24&gt;=Ferien!$C$20,L24&lt;=Ferien!$D$20),AND(L24&gt;=Ferien!$C$21,L24&lt;=Ferien!$D$21))),1,0)</f>
        <v>0</v>
      </c>
      <c r="Q24" s="250">
        <f t="shared" ca="1" si="5"/>
        <v>45403</v>
      </c>
      <c r="R24" s="573" t="str">
        <f t="shared" ca="1" si="6"/>
        <v/>
      </c>
      <c r="S24" s="317" t="str">
        <f ca="1">IFERROR(VLOOKUP(Q24,Mond!$B$3:$C$59,2,0),"")</f>
        <v/>
      </c>
      <c r="T24" s="302" t="str">
        <f ca="1">IFERROR(IF(VLOOKUP(Q24,Gießtage!$L$8:$L$98,1,0),1,0),"")</f>
        <v/>
      </c>
      <c r="U24" s="251">
        <f ca="1">IF(AND(OR(AND(Q24&gt;=Ferien!$C$11,Q24&lt;=Ferien!$D$11),AND(Q24&gt;=Ferien!$C$12,Q24&lt;=Ferien!$D$12),AND(Q24&gt;=Ferien!$C$13,Q24&lt;=Ferien!$D$13),AND(Q24&gt;=Ferien!$C$14,Q24&lt;=Ferien!$D$14),AND(Q24&gt;=Ferien!$C$15,Q24&lt;=Ferien!$D$15),AND(Q24&gt;=Ferien!$C$16,Q24&lt;=Ferien!$D$16),AND(Q24&gt;=Ferien!$C$17,Q24&lt;=Ferien!$D$17),AND(Q24&gt;=Ferien!$C$18,Q24&lt;=Ferien!$D$18),AND(Q24&gt;=Ferien!$C$19,Q24&lt;=Ferien!$D$19),AND(Q24&gt;=Ferien!$C$20,Q24&lt;=Ferien!$D$20),AND(Q24&gt;=Ferien!$C$21,Q24&lt;=Ferien!$D$21))),1,0)</f>
        <v>0</v>
      </c>
      <c r="V24" s="250">
        <f t="shared" ca="1" si="7"/>
        <v>45433</v>
      </c>
      <c r="W24" s="573" t="str">
        <f t="shared" ca="1" si="8"/>
        <v>{</v>
      </c>
      <c r="X24" s="317" t="str">
        <f ca="1">IFERROR(VLOOKUP(V24,Mond!$B$3:$C$59,2,0),"")</f>
        <v/>
      </c>
      <c r="Y24" s="302">
        <f ca="1">IFERROR(IF(VLOOKUP(V24,Gießtage!$L$8:$L$98,1,0),1,0),"")</f>
        <v>1</v>
      </c>
      <c r="Z24" s="251">
        <f ca="1">IF(AND(OR(AND(V24&gt;=Ferien!$C$11,V24&lt;=Ferien!$D$11),AND(V24&gt;=Ferien!$C$12,V24&lt;=Ferien!$D$12),AND(V24&gt;=Ferien!$C$13,V24&lt;=Ferien!$D$13),AND(V24&gt;=Ferien!$C$14,V24&lt;=Ferien!$D$14),AND(V24&gt;=Ferien!$C$15,V24&lt;=Ferien!$D$15),AND(V24&gt;=Ferien!$C$16,V24&lt;=Ferien!$D$16),AND(V24&gt;=Ferien!$C$17,V24&lt;=Ferien!$D$17),AND(V24&gt;=Ferien!$C$18,V24&lt;=Ferien!$D$18),AND(V24&gt;=Ferien!$C$19,V24&lt;=Ferien!$D$19),AND(V24&gt;=Ferien!$C$20,V24&lt;=Ferien!$D$20),AND(V24&gt;=Ferien!$C$21,V24&lt;=Ferien!$D$21))),1,0)</f>
        <v>1</v>
      </c>
      <c r="AA24" s="250">
        <f t="shared" ca="1" si="9"/>
        <v>45464</v>
      </c>
      <c r="AB24" s="573" t="str">
        <f t="shared" ca="1" si="10"/>
        <v/>
      </c>
      <c r="AC24" s="317" t="str">
        <f ca="1">IFERROR(VLOOKUP(AA24,Mond!$B$3:$C$59,2,0),"")</f>
        <v/>
      </c>
      <c r="AD24" s="302" t="str">
        <f ca="1">IFERROR(IF(VLOOKUP(AA24,Gießtage!$L$8:$L$98,1,0),1,0),"")</f>
        <v/>
      </c>
      <c r="AE24" s="251">
        <f ca="1">IF(AND(OR(AND(AA24&gt;=Ferien!$C$11,AA24&lt;=Ferien!$D$11),AND(AA24&gt;=Ferien!$C$12,AA24&lt;=Ferien!$D$12),AND(AA24&gt;=Ferien!$C$13,AA24&lt;=Ferien!$D$13),AND(AA24&gt;=Ferien!$C$14,AA24&lt;=Ferien!$D$14),AND(AA24&gt;=Ferien!$C$15,AA24&lt;=Ferien!$D$15),AND(AA24&gt;=Ferien!$C$16,AA24&lt;=Ferien!$D$16),AND(AA24&gt;=Ferien!$C$17,AA24&lt;=Ferien!$D$17),AND(AA24&gt;=Ferien!$C$18,AA24&lt;=Ferien!$D$18),AND(AA24&gt;=Ferien!$C$19,AA24&lt;=Ferien!$D$19),AND(AA24&gt;=Ferien!$C$20,AA24&lt;=Ferien!$D$20),AND(AA24&gt;=Ferien!$C$21,AA24&lt;=Ferien!$D$21))),1,0)</f>
        <v>0</v>
      </c>
      <c r="AF24" s="250">
        <f t="shared" ca="1" si="11"/>
        <v>45494</v>
      </c>
      <c r="AG24" s="573" t="str">
        <f t="shared" ca="1" si="12"/>
        <v/>
      </c>
      <c r="AH24" s="317" t="str">
        <f ca="1">IFERROR(VLOOKUP(AF24,Mond!$B$3:$C$59,2,0),"")</f>
        <v>@</v>
      </c>
      <c r="AI24" s="302" t="str">
        <f ca="1">IFERROR(IF(VLOOKUP(AF24,Gießtage!$L$8:$L$98,1,0),1,0),"")</f>
        <v/>
      </c>
      <c r="AJ24" s="251">
        <f ca="1">IF(AND(OR(AND(AF24&gt;=Ferien!$C$11,AF24&lt;=Ferien!$D$11),AND(AF24&gt;=Ferien!$C$12,AF24&lt;=Ferien!$D$12),AND(AF24&gt;=Ferien!$C$13,AF24&lt;=Ferien!$D$13),AND(AF24&gt;=Ferien!$C$14,AF24&lt;=Ferien!$D$14),AND(AF24&gt;=Ferien!$C$15,AF24&lt;=Ferien!$D$15),AND(AF24&gt;=Ferien!$C$16,AF24&lt;=Ferien!$D$16),AND(AF24&gt;=Ferien!$C$17,AF24&lt;=Ferien!$D$17),AND(AF24&gt;=Ferien!$C$18,AF24&lt;=Ferien!$D$18),AND(AF24&gt;=Ferien!$C$19,AF24&lt;=Ferien!$D$19),AND(AF24&gt;=Ferien!$C$20,AF24&lt;=Ferien!$D$20),AND(AF24&gt;=Ferien!$C$21,AF24&lt;=Ferien!$D$21))),1,0)</f>
        <v>0</v>
      </c>
      <c r="AK24" s="250">
        <f t="shared" ca="1" si="13"/>
        <v>45525</v>
      </c>
      <c r="AL24" s="573" t="str">
        <f t="shared" ca="1" si="14"/>
        <v>{</v>
      </c>
      <c r="AM24" s="317" t="str">
        <f ca="1">IFERROR(VLOOKUP(AK24,Mond!$B$3:$C$59,2,0),"")</f>
        <v/>
      </c>
      <c r="AN24" s="302">
        <f ca="1">IFERROR(IF(VLOOKUP(AK24,Gießtage!$L$8:$L$98,1,0),1,0),"")</f>
        <v>1</v>
      </c>
      <c r="AO24" s="251">
        <f ca="1">IF(AND(OR(AND(AK24&gt;=Ferien!$C$11,AK24&lt;=Ferien!$D$11),AND(AK24&gt;=Ferien!$C$12,AK24&lt;=Ferien!$D$12),AND(AK24&gt;=Ferien!$C$13,AK24&lt;=Ferien!$D$13),AND(AK24&gt;=Ferien!$C$14,AK24&lt;=Ferien!$D$14),AND(AK24&gt;=Ferien!$C$15,AK24&lt;=Ferien!$D$15),AND(AK24&gt;=Ferien!$C$16,AK24&lt;=Ferien!$D$16),AND(AK24&gt;=Ferien!$C$17,AK24&lt;=Ferien!$D$17),AND(AK24&gt;=Ferien!$C$18,AK24&lt;=Ferien!$D$18),AND(AK24&gt;=Ferien!$C$19,AK24&lt;=Ferien!$D$19),AND(AK24&gt;=Ferien!$C$20,AK24&lt;=Ferien!$D$20),AND(AK24&gt;=Ferien!$C$21,AK24&lt;=Ferien!$D$21))),1,0)</f>
        <v>1</v>
      </c>
      <c r="AP24" s="250">
        <f t="shared" ca="1" si="15"/>
        <v>45556</v>
      </c>
      <c r="AQ24" s="573" t="str">
        <f t="shared" ca="1" si="16"/>
        <v/>
      </c>
      <c r="AR24" s="317" t="str">
        <f ca="1">IFERROR(VLOOKUP(AP24,Mond!$B$3:$C$59,2,0),"")</f>
        <v/>
      </c>
      <c r="AS24" s="302" t="str">
        <f ca="1">IFERROR(IF(VLOOKUP(AP24,Gießtage!$L$8:$L$98,1,0),1,0),"")</f>
        <v/>
      </c>
      <c r="AT24" s="251">
        <f ca="1">IF(AND(OR(AND(AP24&gt;=Ferien!$C$11,AP24&lt;=Ferien!$D$11),AND(AP24&gt;=Ferien!$C$12,AP24&lt;=Ferien!$D$12),AND(AP24&gt;=Ferien!$C$13,AP24&lt;=Ferien!$D$13),AND(AP24&gt;=Ferien!$C$14,AP24&lt;=Ferien!$D$14),AND(AP24&gt;=Ferien!$C$15,AP24&lt;=Ferien!$D$15),AND(AP24&gt;=Ferien!$C$16,AP24&lt;=Ferien!$D$16),AND(AP24&gt;=Ferien!$C$17,AP24&lt;=Ferien!$D$17),AND(AP24&gt;=Ferien!$C$18,AP24&lt;=Ferien!$D$18),AND(AP24&gt;=Ferien!$C$19,AP24&lt;=Ferien!$D$19),AND(AP24&gt;=Ferien!$C$20,AP24&lt;=Ferien!$D$20),AND(AP24&gt;=Ferien!$C$21,AP24&lt;=Ferien!$D$21))),1,0)</f>
        <v>0</v>
      </c>
      <c r="AU24" s="250">
        <f t="shared" ca="1" si="17"/>
        <v>45586</v>
      </c>
      <c r="AV24" s="573" t="str">
        <f t="shared" ca="1" si="18"/>
        <v/>
      </c>
      <c r="AW24" s="317" t="str">
        <f ca="1">IFERROR(VLOOKUP(AU24,Mond!$B$3:$C$59,2,0),"")</f>
        <v/>
      </c>
      <c r="AX24" s="302" t="str">
        <f ca="1">IFERROR(IF(VLOOKUP(AU24,Gießtage!$L$8:$L$98,1,0),1,0),"")</f>
        <v/>
      </c>
      <c r="AY24" s="251">
        <f ca="1">IF(AND(OR(AND(AU24&gt;=Ferien!$C$11,AU24&lt;=Ferien!$D$11),AND(AU24&gt;=Ferien!$C$12,AU24&lt;=Ferien!$D$12),AND(AU24&gt;=Ferien!$C$13,AU24&lt;=Ferien!$D$13),AND(AU24&gt;=Ferien!$C$14,AU24&lt;=Ferien!$D$14),AND(AU24&gt;=Ferien!$C$15,AU24&lt;=Ferien!$D$15),AND(AU24&gt;=Ferien!$C$16,AU24&lt;=Ferien!$D$16),AND(AU24&gt;=Ferien!$C$17,AU24&lt;=Ferien!$D$17),AND(AU24&gt;=Ferien!$C$18,AU24&lt;=Ferien!$D$18),AND(AU24&gt;=Ferien!$C$19,AU24&lt;=Ferien!$D$19),AND(AU24&gt;=Ferien!$C$20,AU24&lt;=Ferien!$D$20),AND(AU24&gt;=Ferien!$C$21,AU24&lt;=Ferien!$D$21))),1,0)</f>
        <v>0</v>
      </c>
      <c r="AZ24" s="250">
        <f t="shared" ca="1" si="19"/>
        <v>45617</v>
      </c>
      <c r="BA24" s="573" t="str">
        <f t="shared" ca="1" si="20"/>
        <v/>
      </c>
      <c r="BB24" s="317" t="str">
        <f ca="1">IFERROR(VLOOKUP(AZ24,Mond!$B$3:$C$59,2,0),"")</f>
        <v/>
      </c>
      <c r="BC24" s="302" t="str">
        <f ca="1">IFERROR(IF(VLOOKUP(AZ24,Gießtage!$L$8:$L$98,1,0),1,0),"")</f>
        <v/>
      </c>
      <c r="BD24" s="251">
        <f ca="1">IF(AND(OR(AND(AZ24&gt;=Ferien!$C$11,AZ24&lt;=Ferien!$D$11),AND(AZ24&gt;=Ferien!$C$12,AZ24&lt;=Ferien!$D$12),AND(AZ24&gt;=Ferien!$C$13,AZ24&lt;=Ferien!$D$13),AND(AZ24&gt;=Ferien!$C$14,AZ24&lt;=Ferien!$D$14),AND(AZ24&gt;=Ferien!$C$15,AZ24&lt;=Ferien!$D$15),AND(AZ24&gt;=Ferien!$C$16,AZ24&lt;=Ferien!$D$16),AND(AZ24&gt;=Ferien!$C$17,AZ24&lt;=Ferien!$D$17),AND(AZ24&gt;=Ferien!$C$18,AZ24&lt;=Ferien!$D$18),AND(AZ24&gt;=Ferien!$C$19,AZ24&lt;=Ferien!$D$19),AND(AZ24&gt;=Ferien!$C$20,AZ24&lt;=Ferien!$D$20),AND(AZ24&gt;=Ferien!$C$21,AZ24&lt;=Ferien!$D$21))),1,0)</f>
        <v>0</v>
      </c>
      <c r="BE24" s="250">
        <f t="shared" ca="1" si="21"/>
        <v>45647</v>
      </c>
      <c r="BF24" s="573" t="str">
        <f t="shared" ca="1" si="22"/>
        <v/>
      </c>
      <c r="BG24" s="317" t="str">
        <f ca="1">IFERROR(VLOOKUP(BE24,Mond!$B$3:$C$59,2,0),"")</f>
        <v/>
      </c>
      <c r="BH24" s="302" t="str">
        <f ca="1">IFERROR(IF(VLOOKUP(BE24,Gießtage!$L$8:$L$98,1,0),1,0),"")</f>
        <v/>
      </c>
      <c r="BI24" s="252">
        <f ca="1">IF(AND(OR(AND(BE24&gt;=Ferien!$C$11,BE24&lt;=Ferien!$D$11),AND(BE24&gt;=Ferien!$C$12,BE24&lt;=Ferien!$D$12),AND(BE24&gt;=Ferien!$C$13,BE24&lt;=Ferien!$D$13),AND(BE24&gt;=Ferien!$C$14,BE24&lt;=Ferien!$D$14),AND(BE24&gt;=Ferien!$C$15,BE24&lt;=Ferien!$D$15),AND(BE24&gt;=Ferien!$C$16,BE24&lt;=Ferien!$D$16),AND(BE24&gt;=Ferien!$C$17,BE24&lt;=Ferien!$D$17),AND(BE24&gt;=Ferien!$C$18,BE24&lt;=Ferien!$D$18),AND(BE24&gt;=Ferien!$C$19,BE24&lt;=Ferien!$D$19),AND(BE24&gt;=Ferien!$C$20,BE24&lt;=Ferien!$D$20),AND(BE24&gt;=Ferien!$C$21,BE24&lt;=Ferien!$D$21))),1,0)</f>
        <v>0</v>
      </c>
      <c r="BJ24" s="811" t="str">
        <f ca="1">IF(BL24="","",Feiertage!C17)</f>
        <v>1.Weihnachtsfeiertag</v>
      </c>
      <c r="BK24" s="812"/>
      <c r="BL24" s="338">
        <f ca="1">Feiertage!B17</f>
        <v>45651</v>
      </c>
      <c r="BM24" s="304">
        <f t="shared" ca="1" si="30"/>
        <v>45651</v>
      </c>
      <c r="BN24" s="314" t="str">
        <f t="shared" ca="1" si="31"/>
        <v/>
      </c>
      <c r="BO24" s="315" t="str">
        <f t="shared" ca="1" si="32"/>
        <v/>
      </c>
      <c r="BP24" s="253" t="str">
        <f t="shared" si="33"/>
        <v/>
      </c>
      <c r="BQ24" s="236">
        <v>1</v>
      </c>
      <c r="BR24" s="235" t="e">
        <f t="shared" si="34"/>
        <v>#VALUE!</v>
      </c>
      <c r="BS24" s="235" t="e">
        <f t="shared" si="35"/>
        <v>#VALUE!</v>
      </c>
      <c r="BT24" s="238"/>
      <c r="BU24" s="238"/>
      <c r="BV24" s="238"/>
    </row>
    <row r="25" spans="2:77" ht="19.5" customHeight="1" thickBot="1">
      <c r="B25" s="250">
        <f t="shared" ca="1" si="0"/>
        <v>45313</v>
      </c>
      <c r="C25" s="573" t="str">
        <f t="shared" ca="1" si="1"/>
        <v/>
      </c>
      <c r="D25" s="317" t="str">
        <f ca="1">IFERROR(VLOOKUP(B25,Mond!$B$3:$C$59,2,0),"")</f>
        <v/>
      </c>
      <c r="E25" s="302" t="str">
        <f ca="1">IFERROR(IF(VLOOKUP(B25,Gießtage!$L$8:$L$98,1,0),1,0),"")</f>
        <v/>
      </c>
      <c r="F25" s="251">
        <f ca="1">IF(AND(OR(AND(B25&gt;=Ferien!$C$11,B25&lt;=Ferien!$D$11),AND(B25&gt;=Ferien!$C$12,B25&lt;=Ferien!$D$12),AND(B25&gt;=Ferien!$C$13,B25&lt;=Ferien!$D$13),AND(B25&gt;=Ferien!$C$14,B25&lt;=Ferien!$D$14),AND(B25&gt;=Ferien!$C$15,B25&lt;=Ferien!$D$15),AND(B25&gt;=Ferien!$C$16,B25&lt;=Ferien!$D$16),AND(B25&gt;=Ferien!$C$17,B25&lt;=Ferien!$D$17),AND(B25&gt;=Ferien!$C$18,B25&lt;=Ferien!$D$18),AND(B25&gt;=Ferien!$C$19,B25&lt;=Ferien!$D$19),AND(B25&gt;=Ferien!$C$20,B25&lt;=Ferien!$D$20),AND(B25&gt;=Ferien!$C$21,B25&lt;=Ferien!$D$21))),1,0)</f>
        <v>0</v>
      </c>
      <c r="G25" s="250">
        <f t="shared" ca="1" si="2"/>
        <v>45344</v>
      </c>
      <c r="H25" s="573" t="s">
        <v>258</v>
      </c>
      <c r="I25" s="317" t="str">
        <f ca="1">IFERROR(VLOOKUP(G25,Mond!$B$3:$C$59,2,0),"")</f>
        <v/>
      </c>
      <c r="J25" s="302" t="str">
        <f ca="1">IFERROR(IF(VLOOKUP(G25,Gießtage!$L$8:$L$98,1,0),1,0),"")</f>
        <v/>
      </c>
      <c r="K25" s="251">
        <f ca="1">IF(AND(OR(AND(G25&gt;=Ferien!$C$11,G25&lt;=Ferien!$D$11),AND(G25&gt;=Ferien!$C$12,G25&lt;=Ferien!$D$12),AND(G25&gt;=Ferien!$C$13,G25&lt;=Ferien!$D$13),AND(G25&gt;=Ferien!$C$14,G25&lt;=Ferien!$D$14),AND(G25&gt;=Ferien!$C$15,G25&lt;=Ferien!$D$15),AND(G25&gt;=Ferien!$C$16,G25&lt;=Ferien!$D$16),AND(G25&gt;=Ferien!$C$17,G25&lt;=Ferien!$D$17),AND(G25&gt;=Ferien!$C$18,G25&lt;=Ferien!$D$18),AND(G25&gt;=Ferien!$C$19,G25&lt;=Ferien!$D$19),AND(G25&gt;=Ferien!$C$20,G25&lt;=Ferien!$D$20),AND(G25&gt;=Ferien!$C$21,G25&lt;=Ferien!$D$21))),1,0)</f>
        <v>0</v>
      </c>
      <c r="L25" s="250">
        <f t="shared" ca="1" si="3"/>
        <v>45373</v>
      </c>
      <c r="M25" s="573" t="str">
        <f t="shared" ca="1" si="4"/>
        <v/>
      </c>
      <c r="N25" s="317" t="str">
        <f ca="1">IFERROR(VLOOKUP(L25,Mond!$B$3:$C$59,2,0),"")</f>
        <v/>
      </c>
      <c r="O25" s="302" t="str">
        <f ca="1">IFERROR(IF(VLOOKUP(L25,Gießtage!$L$8:$L$98,1,0),1,0),"")</f>
        <v/>
      </c>
      <c r="P25" s="251">
        <f ca="1">IF(AND(OR(AND(L25&gt;=Ferien!$C$11,L25&lt;=Ferien!$D$11),AND(L25&gt;=Ferien!$C$12,L25&lt;=Ferien!$D$12),AND(L25&gt;=Ferien!$C$13,L25&lt;=Ferien!$D$13),AND(L25&gt;=Ferien!$C$14,L25&lt;=Ferien!$D$14),AND(L25&gt;=Ferien!$C$15,L25&lt;=Ferien!$D$15),AND(L25&gt;=Ferien!$C$16,L25&lt;=Ferien!$D$16),AND(L25&gt;=Ferien!$C$17,L25&lt;=Ferien!$D$17),AND(L25&gt;=Ferien!$C$18,L25&lt;=Ferien!$D$18),AND(L25&gt;=Ferien!$C$19,L25&lt;=Ferien!$D$19),AND(L25&gt;=Ferien!$C$20,L25&lt;=Ferien!$D$20),AND(L25&gt;=Ferien!$C$21,L25&lt;=Ferien!$D$21))),1,0)</f>
        <v>0</v>
      </c>
      <c r="Q25" s="250">
        <f t="shared" ca="1" si="5"/>
        <v>45404</v>
      </c>
      <c r="R25" s="573" t="str">
        <f t="shared" ca="1" si="6"/>
        <v/>
      </c>
      <c r="S25" s="317" t="str">
        <f ca="1">IFERROR(VLOOKUP(Q25,Mond!$B$3:$C$59,2,0),"")</f>
        <v/>
      </c>
      <c r="T25" s="302" t="str">
        <f ca="1">IFERROR(IF(VLOOKUP(Q25,Gießtage!$L$8:$L$98,1,0),1,0),"")</f>
        <v/>
      </c>
      <c r="U25" s="251">
        <f ca="1">IF(AND(OR(AND(Q25&gt;=Ferien!$C$11,Q25&lt;=Ferien!$D$11),AND(Q25&gt;=Ferien!$C$12,Q25&lt;=Ferien!$D$12),AND(Q25&gt;=Ferien!$C$13,Q25&lt;=Ferien!$D$13),AND(Q25&gt;=Ferien!$C$14,Q25&lt;=Ferien!$D$14),AND(Q25&gt;=Ferien!$C$15,Q25&lt;=Ferien!$D$15),AND(Q25&gt;=Ferien!$C$16,Q25&lt;=Ferien!$D$16),AND(Q25&gt;=Ferien!$C$17,Q25&lt;=Ferien!$D$17),AND(Q25&gt;=Ferien!$C$18,Q25&lt;=Ferien!$D$18),AND(Q25&gt;=Ferien!$C$19,Q25&lt;=Ferien!$D$19),AND(Q25&gt;=Ferien!$C$20,Q25&lt;=Ferien!$D$20),AND(Q25&gt;=Ferien!$C$21,Q25&lt;=Ferien!$D$21))),1,0)</f>
        <v>0</v>
      </c>
      <c r="V25" s="250">
        <f t="shared" ca="1" si="7"/>
        <v>45434</v>
      </c>
      <c r="W25" s="573" t="str">
        <f t="shared" ca="1" si="8"/>
        <v>{</v>
      </c>
      <c r="X25" s="317" t="str">
        <f ca="1">IFERROR(VLOOKUP(V25,Mond!$B$3:$C$59,2,0),"")</f>
        <v/>
      </c>
      <c r="Y25" s="302">
        <f ca="1">IFERROR(IF(VLOOKUP(V25,Gießtage!$L$8:$L$98,1,0),1,0),"")</f>
        <v>1</v>
      </c>
      <c r="Z25" s="251">
        <f ca="1">IF(AND(OR(AND(V25&gt;=Ferien!$C$11,V25&lt;=Ferien!$D$11),AND(V25&gt;=Ferien!$C$12,V25&lt;=Ferien!$D$12),AND(V25&gt;=Ferien!$C$13,V25&lt;=Ferien!$D$13),AND(V25&gt;=Ferien!$C$14,V25&lt;=Ferien!$D$14),AND(V25&gt;=Ferien!$C$15,V25&lt;=Ferien!$D$15),AND(V25&gt;=Ferien!$C$16,V25&lt;=Ferien!$D$16),AND(V25&gt;=Ferien!$C$17,V25&lt;=Ferien!$D$17),AND(V25&gt;=Ferien!$C$18,V25&lt;=Ferien!$D$18),AND(V25&gt;=Ferien!$C$19,V25&lt;=Ferien!$D$19),AND(V25&gt;=Ferien!$C$20,V25&lt;=Ferien!$D$20),AND(V25&gt;=Ferien!$C$21,V25&lt;=Ferien!$D$21))),1,0)</f>
        <v>1</v>
      </c>
      <c r="AA25" s="250">
        <f t="shared" ca="1" si="9"/>
        <v>45465</v>
      </c>
      <c r="AB25" s="573" t="str">
        <f t="shared" ca="1" si="10"/>
        <v/>
      </c>
      <c r="AC25" s="317" t="str">
        <f ca="1">IFERROR(VLOOKUP(AA25,Mond!$B$3:$C$59,2,0),"")</f>
        <v>@</v>
      </c>
      <c r="AD25" s="302" t="str">
        <f ca="1">IFERROR(IF(VLOOKUP(AA25,Gießtage!$L$8:$L$98,1,0),1,0),"")</f>
        <v/>
      </c>
      <c r="AE25" s="251">
        <f ca="1">IF(AND(OR(AND(AA25&gt;=Ferien!$C$11,AA25&lt;=Ferien!$D$11),AND(AA25&gt;=Ferien!$C$12,AA25&lt;=Ferien!$D$12),AND(AA25&gt;=Ferien!$C$13,AA25&lt;=Ferien!$D$13),AND(AA25&gt;=Ferien!$C$14,AA25&lt;=Ferien!$D$14),AND(AA25&gt;=Ferien!$C$15,AA25&lt;=Ferien!$D$15),AND(AA25&gt;=Ferien!$C$16,AA25&lt;=Ferien!$D$16),AND(AA25&gt;=Ferien!$C$17,AA25&lt;=Ferien!$D$17),AND(AA25&gt;=Ferien!$C$18,AA25&lt;=Ferien!$D$18),AND(AA25&gt;=Ferien!$C$19,AA25&lt;=Ferien!$D$19),AND(AA25&gt;=Ferien!$C$20,AA25&lt;=Ferien!$D$20),AND(AA25&gt;=Ferien!$C$21,AA25&lt;=Ferien!$D$21))),1,0)</f>
        <v>0</v>
      </c>
      <c r="AF25" s="250">
        <f t="shared" ca="1" si="11"/>
        <v>45495</v>
      </c>
      <c r="AG25" s="573" t="str">
        <f t="shared" ca="1" si="12"/>
        <v/>
      </c>
      <c r="AH25" s="317" t="str">
        <f ca="1">IFERROR(VLOOKUP(AF25,Mond!$B$3:$C$59,2,0),"")</f>
        <v/>
      </c>
      <c r="AI25" s="302" t="str">
        <f ca="1">IFERROR(IF(VLOOKUP(AF25,Gießtage!$L$8:$L$98,1,0),1,0),"")</f>
        <v/>
      </c>
      <c r="AJ25" s="251">
        <f ca="1">IF(AND(OR(AND(AF25&gt;=Ferien!$C$11,AF25&lt;=Ferien!$D$11),AND(AF25&gt;=Ferien!$C$12,AF25&lt;=Ferien!$D$12),AND(AF25&gt;=Ferien!$C$13,AF25&lt;=Ferien!$D$13),AND(AF25&gt;=Ferien!$C$14,AF25&lt;=Ferien!$D$14),AND(AF25&gt;=Ferien!$C$15,AF25&lt;=Ferien!$D$15),AND(AF25&gt;=Ferien!$C$16,AF25&lt;=Ferien!$D$16),AND(AF25&gt;=Ferien!$C$17,AF25&lt;=Ferien!$D$17),AND(AF25&gt;=Ferien!$C$18,AF25&lt;=Ferien!$D$18),AND(AF25&gt;=Ferien!$C$19,AF25&lt;=Ferien!$D$19),AND(AF25&gt;=Ferien!$C$20,AF25&lt;=Ferien!$D$20),AND(AF25&gt;=Ferien!$C$21,AF25&lt;=Ferien!$D$21))),1,0)</f>
        <v>0</v>
      </c>
      <c r="AK25" s="250">
        <f t="shared" ca="1" si="13"/>
        <v>45526</v>
      </c>
      <c r="AL25" s="573" t="str">
        <f t="shared" ca="1" si="14"/>
        <v/>
      </c>
      <c r="AM25" s="317" t="str">
        <f ca="1">IFERROR(VLOOKUP(AK25,Mond!$B$3:$C$59,2,0),"")</f>
        <v/>
      </c>
      <c r="AN25" s="302" t="str">
        <f ca="1">IFERROR(IF(VLOOKUP(AK25,Gießtage!$L$8:$L$98,1,0),1,0),"")</f>
        <v/>
      </c>
      <c r="AO25" s="251">
        <f ca="1">IF(AND(OR(AND(AK25&gt;=Ferien!$C$11,AK25&lt;=Ferien!$D$11),AND(AK25&gt;=Ferien!$C$12,AK25&lt;=Ferien!$D$12),AND(AK25&gt;=Ferien!$C$13,AK25&lt;=Ferien!$D$13),AND(AK25&gt;=Ferien!$C$14,AK25&lt;=Ferien!$D$14),AND(AK25&gt;=Ferien!$C$15,AK25&lt;=Ferien!$D$15),AND(AK25&gt;=Ferien!$C$16,AK25&lt;=Ferien!$D$16),AND(AK25&gt;=Ferien!$C$17,AK25&lt;=Ferien!$D$17),AND(AK25&gt;=Ferien!$C$18,AK25&lt;=Ferien!$D$18),AND(AK25&gt;=Ferien!$C$19,AK25&lt;=Ferien!$D$19),AND(AK25&gt;=Ferien!$C$20,AK25&lt;=Ferien!$D$20),AND(AK25&gt;=Ferien!$C$21,AK25&lt;=Ferien!$D$21))),1,0)</f>
        <v>1</v>
      </c>
      <c r="AP25" s="250">
        <f t="shared" ca="1" si="15"/>
        <v>45557</v>
      </c>
      <c r="AQ25" s="573" t="str">
        <f t="shared" ca="1" si="16"/>
        <v/>
      </c>
      <c r="AR25" s="317" t="str">
        <f ca="1">IFERROR(VLOOKUP(AP25,Mond!$B$3:$C$59,2,0),"")</f>
        <v/>
      </c>
      <c r="AS25" s="302" t="str">
        <f ca="1">IFERROR(IF(VLOOKUP(AP25,Gießtage!$L$8:$L$98,1,0),1,0),"")</f>
        <v/>
      </c>
      <c r="AT25" s="251">
        <f ca="1">IF(AND(OR(AND(AP25&gt;=Ferien!$C$11,AP25&lt;=Ferien!$D$11),AND(AP25&gt;=Ferien!$C$12,AP25&lt;=Ferien!$D$12),AND(AP25&gt;=Ferien!$C$13,AP25&lt;=Ferien!$D$13),AND(AP25&gt;=Ferien!$C$14,AP25&lt;=Ferien!$D$14),AND(AP25&gt;=Ferien!$C$15,AP25&lt;=Ferien!$D$15),AND(AP25&gt;=Ferien!$C$16,AP25&lt;=Ferien!$D$16),AND(AP25&gt;=Ferien!$C$17,AP25&lt;=Ferien!$D$17),AND(AP25&gt;=Ferien!$C$18,AP25&lt;=Ferien!$D$18),AND(AP25&gt;=Ferien!$C$19,AP25&lt;=Ferien!$D$19),AND(AP25&gt;=Ferien!$C$20,AP25&lt;=Ferien!$D$20),AND(AP25&gt;=Ferien!$C$21,AP25&lt;=Ferien!$D$21))),1,0)</f>
        <v>0</v>
      </c>
      <c r="AU25" s="250">
        <f t="shared" ca="1" si="17"/>
        <v>45587</v>
      </c>
      <c r="AV25" s="573" t="str">
        <f t="shared" ca="1" si="18"/>
        <v>{</v>
      </c>
      <c r="AW25" s="317" t="str">
        <f ca="1">IFERROR(VLOOKUP(AU25,Mond!$B$3:$C$59,2,0),"")</f>
        <v/>
      </c>
      <c r="AX25" s="302">
        <f ca="1">IFERROR(IF(VLOOKUP(AU25,Gießtage!$L$8:$L$98,1,0),1,0),"")</f>
        <v>1</v>
      </c>
      <c r="AY25" s="251">
        <f ca="1">IF(AND(OR(AND(AU25&gt;=Ferien!$C$11,AU25&lt;=Ferien!$D$11),AND(AU25&gt;=Ferien!$C$12,AU25&lt;=Ferien!$D$12),AND(AU25&gt;=Ferien!$C$13,AU25&lt;=Ferien!$D$13),AND(AU25&gt;=Ferien!$C$14,AU25&lt;=Ferien!$D$14),AND(AU25&gt;=Ferien!$C$15,AU25&lt;=Ferien!$D$15),AND(AU25&gt;=Ferien!$C$16,AU25&lt;=Ferien!$D$16),AND(AU25&gt;=Ferien!$C$17,AU25&lt;=Ferien!$D$17),AND(AU25&gt;=Ferien!$C$18,AU25&lt;=Ferien!$D$18),AND(AU25&gt;=Ferien!$C$19,AU25&lt;=Ferien!$D$19),AND(AU25&gt;=Ferien!$C$20,AU25&lt;=Ferien!$D$20),AND(AU25&gt;=Ferien!$C$21,AU25&lt;=Ferien!$D$21))),1,0)</f>
        <v>0</v>
      </c>
      <c r="AZ25" s="250">
        <f t="shared" ca="1" si="19"/>
        <v>45618</v>
      </c>
      <c r="BA25" s="573" t="str">
        <f t="shared" ca="1" si="20"/>
        <v/>
      </c>
      <c r="BB25" s="317" t="str">
        <f ca="1">IFERROR(VLOOKUP(AZ25,Mond!$B$3:$C$59,2,0),"")</f>
        <v/>
      </c>
      <c r="BC25" s="302" t="str">
        <f ca="1">IFERROR(IF(VLOOKUP(AZ25,Gießtage!$L$8:$L$98,1,0),1,0),"")</f>
        <v/>
      </c>
      <c r="BD25" s="251">
        <f ca="1">IF(AND(OR(AND(AZ25&gt;=Ferien!$C$11,AZ25&lt;=Ferien!$D$11),AND(AZ25&gt;=Ferien!$C$12,AZ25&lt;=Ferien!$D$12),AND(AZ25&gt;=Ferien!$C$13,AZ25&lt;=Ferien!$D$13),AND(AZ25&gt;=Ferien!$C$14,AZ25&lt;=Ferien!$D$14),AND(AZ25&gt;=Ferien!$C$15,AZ25&lt;=Ferien!$D$15),AND(AZ25&gt;=Ferien!$C$16,AZ25&lt;=Ferien!$D$16),AND(AZ25&gt;=Ferien!$C$17,AZ25&lt;=Ferien!$D$17),AND(AZ25&gt;=Ferien!$C$18,AZ25&lt;=Ferien!$D$18),AND(AZ25&gt;=Ferien!$C$19,AZ25&lt;=Ferien!$D$19),AND(AZ25&gt;=Ferien!$C$20,AZ25&lt;=Ferien!$D$20),AND(AZ25&gt;=Ferien!$C$21,AZ25&lt;=Ferien!$D$21))),1,0)</f>
        <v>0</v>
      </c>
      <c r="BE25" s="250">
        <f t="shared" ca="1" si="21"/>
        <v>45648</v>
      </c>
      <c r="BF25" s="573" t="str">
        <f t="shared" ca="1" si="22"/>
        <v/>
      </c>
      <c r="BG25" s="317" t="str">
        <f ca="1">IFERROR(VLOOKUP(BE25,Mond!$B$3:$C$59,2,0),"")</f>
        <v>T</v>
      </c>
      <c r="BH25" s="302" t="str">
        <f ca="1">IFERROR(IF(VLOOKUP(BE25,Gießtage!$L$8:$L$98,1,0),1,0),"")</f>
        <v/>
      </c>
      <c r="BI25" s="252">
        <f ca="1">IF(AND(OR(AND(BE25&gt;=Ferien!$C$11,BE25&lt;=Ferien!$D$11),AND(BE25&gt;=Ferien!$C$12,BE25&lt;=Ferien!$D$12),AND(BE25&gt;=Ferien!$C$13,BE25&lt;=Ferien!$D$13),AND(BE25&gt;=Ferien!$C$14,BE25&lt;=Ferien!$D$14),AND(BE25&gt;=Ferien!$C$15,BE25&lt;=Ferien!$D$15),AND(BE25&gt;=Ferien!$C$16,BE25&lt;=Ferien!$D$16),AND(BE25&gt;=Ferien!$C$17,BE25&lt;=Ferien!$D$17),AND(BE25&gt;=Ferien!$C$18,BE25&lt;=Ferien!$D$18),AND(BE25&gt;=Ferien!$C$19,BE25&lt;=Ferien!$D$19),AND(BE25&gt;=Ferien!$C$20,BE25&lt;=Ferien!$D$20),AND(BE25&gt;=Ferien!$C$21,BE25&lt;=Ferien!$D$21))),1,0)</f>
        <v>0</v>
      </c>
      <c r="BJ25" s="821" t="str">
        <f ca="1">IF(BL25="","",Feiertage!C18)</f>
        <v>2.Weihnachtsfeiertag</v>
      </c>
      <c r="BK25" s="822"/>
      <c r="BL25" s="455">
        <f ca="1">Feiertage!B18</f>
        <v>45652</v>
      </c>
      <c r="BM25" s="456">
        <f t="shared" ca="1" si="30"/>
        <v>45652</v>
      </c>
      <c r="BN25" s="457">
        <f t="shared" ca="1" si="31"/>
        <v>45653</v>
      </c>
      <c r="BO25" s="315">
        <f t="shared" ca="1" si="32"/>
        <v>45653</v>
      </c>
      <c r="BP25" s="253">
        <f t="shared" ca="1" si="33"/>
        <v>3</v>
      </c>
      <c r="BQ25" s="236">
        <v>1</v>
      </c>
      <c r="BR25" s="235">
        <f t="shared" ca="1" si="34"/>
        <v>0</v>
      </c>
      <c r="BS25" s="235">
        <f t="shared" ca="1" si="35"/>
        <v>0</v>
      </c>
      <c r="BT25" s="238"/>
      <c r="BU25" s="238"/>
      <c r="BV25" s="238"/>
      <c r="BW25" s="238"/>
      <c r="BX25" s="238"/>
      <c r="BY25" s="238"/>
    </row>
    <row r="26" spans="2:77" ht="19.5" customHeight="1">
      <c r="B26" s="250">
        <f t="shared" ca="1" si="0"/>
        <v>45314</v>
      </c>
      <c r="C26" s="573" t="str">
        <f t="shared" ca="1" si="1"/>
        <v>{</v>
      </c>
      <c r="D26" s="317" t="str">
        <f ca="1">IFERROR(VLOOKUP(B26,Mond!$B$3:$C$59,2,0),"")</f>
        <v/>
      </c>
      <c r="E26" s="302">
        <f ca="1">IFERROR(IF(VLOOKUP(B26,Gießtage!$L$8:$L$98,1,0),1,0),"")</f>
        <v>1</v>
      </c>
      <c r="F26" s="251">
        <f ca="1">IF(AND(OR(AND(B26&gt;=Ferien!$C$11,B26&lt;=Ferien!$D$11),AND(B26&gt;=Ferien!$C$12,B26&lt;=Ferien!$D$12),AND(B26&gt;=Ferien!$C$13,B26&lt;=Ferien!$D$13),AND(B26&gt;=Ferien!$C$14,B26&lt;=Ferien!$D$14),AND(B26&gt;=Ferien!$C$15,B26&lt;=Ferien!$D$15),AND(B26&gt;=Ferien!$C$16,B26&lt;=Ferien!$D$16),AND(B26&gt;=Ferien!$C$17,B26&lt;=Ferien!$D$17),AND(B26&gt;=Ferien!$C$18,B26&lt;=Ferien!$D$18),AND(B26&gt;=Ferien!$C$19,B26&lt;=Ferien!$D$19),AND(B26&gt;=Ferien!$C$20,B26&lt;=Ferien!$D$20),AND(B26&gt;=Ferien!$C$21,B26&lt;=Ferien!$D$21))),1,0)</f>
        <v>0</v>
      </c>
      <c r="G26" s="250">
        <f t="shared" ca="1" si="2"/>
        <v>45345</v>
      </c>
      <c r="H26" s="573" t="s">
        <v>220</v>
      </c>
      <c r="I26" s="317" t="str">
        <f ca="1">IFERROR(VLOOKUP(G26,Mond!$B$3:$C$59,2,0),"")</f>
        <v/>
      </c>
      <c r="J26" s="302" t="str">
        <f ca="1">IFERROR(IF(VLOOKUP(G26,Gießtage!$L$8:$L$98,1,0),1,0),"")</f>
        <v/>
      </c>
      <c r="K26" s="251">
        <f ca="1">IF(AND(OR(AND(G26&gt;=Ferien!$C$11,G26&lt;=Ferien!$D$11),AND(G26&gt;=Ferien!$C$12,G26&lt;=Ferien!$D$12),AND(G26&gt;=Ferien!$C$13,G26&lt;=Ferien!$D$13),AND(G26&gt;=Ferien!$C$14,G26&lt;=Ferien!$D$14),AND(G26&gt;=Ferien!$C$15,G26&lt;=Ferien!$D$15),AND(G26&gt;=Ferien!$C$16,G26&lt;=Ferien!$D$16),AND(G26&gt;=Ferien!$C$17,G26&lt;=Ferien!$D$17),AND(G26&gt;=Ferien!$C$18,G26&lt;=Ferien!$D$18),AND(G26&gt;=Ferien!$C$19,G26&lt;=Ferien!$D$19),AND(G26&gt;=Ferien!$C$20,G26&lt;=Ferien!$D$20),AND(G26&gt;=Ferien!$C$21,G26&lt;=Ferien!$D$21))),1,0)</f>
        <v>0</v>
      </c>
      <c r="L26" s="250">
        <f t="shared" ca="1" si="3"/>
        <v>45374</v>
      </c>
      <c r="M26" s="573" t="str">
        <f t="shared" ca="1" si="4"/>
        <v/>
      </c>
      <c r="N26" s="317" t="str">
        <f ca="1">IFERROR(VLOOKUP(L26,Mond!$B$3:$C$59,2,0),"")</f>
        <v/>
      </c>
      <c r="O26" s="302" t="str">
        <f ca="1">IFERROR(IF(VLOOKUP(L26,Gießtage!$L$8:$L$98,1,0),1,0),"")</f>
        <v/>
      </c>
      <c r="P26" s="251">
        <f ca="1">IF(AND(OR(AND(L26&gt;=Ferien!$C$11,L26&lt;=Ferien!$D$11),AND(L26&gt;=Ferien!$C$12,L26&lt;=Ferien!$D$12),AND(L26&gt;=Ferien!$C$13,L26&lt;=Ferien!$D$13),AND(L26&gt;=Ferien!$C$14,L26&lt;=Ferien!$D$14),AND(L26&gt;=Ferien!$C$15,L26&lt;=Ferien!$D$15),AND(L26&gt;=Ferien!$C$16,L26&lt;=Ferien!$D$16),AND(L26&gt;=Ferien!$C$17,L26&lt;=Ferien!$D$17),AND(L26&gt;=Ferien!$C$18,L26&lt;=Ferien!$D$18),AND(L26&gt;=Ferien!$C$19,L26&lt;=Ferien!$D$19),AND(L26&gt;=Ferien!$C$20,L26&lt;=Ferien!$D$20),AND(L26&gt;=Ferien!$C$21,L26&lt;=Ferien!$D$21))),1,0)</f>
        <v>1</v>
      </c>
      <c r="Q26" s="250">
        <f t="shared" ca="1" si="5"/>
        <v>45405</v>
      </c>
      <c r="R26" s="573" t="str">
        <f t="shared" ca="1" si="6"/>
        <v/>
      </c>
      <c r="S26" s="317" t="str">
        <f ca="1">IFERROR(VLOOKUP(Q26,Mond!$B$3:$C$59,2,0),"")</f>
        <v/>
      </c>
      <c r="T26" s="302" t="str">
        <f ca="1">IFERROR(IF(VLOOKUP(Q26,Gießtage!$L$8:$L$98,1,0),1,0),"")</f>
        <v/>
      </c>
      <c r="U26" s="251">
        <f ca="1">IF(AND(OR(AND(Q26&gt;=Ferien!$C$11,Q26&lt;=Ferien!$D$11),AND(Q26&gt;=Ferien!$C$12,Q26&lt;=Ferien!$D$12),AND(Q26&gt;=Ferien!$C$13,Q26&lt;=Ferien!$D$13),AND(Q26&gt;=Ferien!$C$14,Q26&lt;=Ferien!$D$14),AND(Q26&gt;=Ferien!$C$15,Q26&lt;=Ferien!$D$15),AND(Q26&gt;=Ferien!$C$16,Q26&lt;=Ferien!$D$16),AND(Q26&gt;=Ferien!$C$17,Q26&lt;=Ferien!$D$17),AND(Q26&gt;=Ferien!$C$18,Q26&lt;=Ferien!$D$18),AND(Q26&gt;=Ferien!$C$19,Q26&lt;=Ferien!$D$19),AND(Q26&gt;=Ferien!$C$20,Q26&lt;=Ferien!$D$20),AND(Q26&gt;=Ferien!$C$21,Q26&lt;=Ferien!$D$21))),1,0)</f>
        <v>0</v>
      </c>
      <c r="V26" s="250">
        <f t="shared" ca="1" si="7"/>
        <v>45435</v>
      </c>
      <c r="W26" s="573" t="str">
        <f t="shared" ca="1" si="8"/>
        <v/>
      </c>
      <c r="X26" s="317" t="str">
        <f ca="1">IFERROR(VLOOKUP(V26,Mond!$B$3:$C$59,2,0),"")</f>
        <v>@</v>
      </c>
      <c r="Y26" s="302" t="str">
        <f ca="1">IFERROR(IF(VLOOKUP(V26,Gießtage!$L$8:$L$98,1,0),1,0),"")</f>
        <v/>
      </c>
      <c r="Z26" s="251">
        <f ca="1">IF(AND(OR(AND(V26&gt;=Ferien!$C$11,V26&lt;=Ferien!$D$11),AND(V26&gt;=Ferien!$C$12,V26&lt;=Ferien!$D$12),AND(V26&gt;=Ferien!$C$13,V26&lt;=Ferien!$D$13),AND(V26&gt;=Ferien!$C$14,V26&lt;=Ferien!$D$14),AND(V26&gt;=Ferien!$C$15,V26&lt;=Ferien!$D$15),AND(V26&gt;=Ferien!$C$16,V26&lt;=Ferien!$D$16),AND(V26&gt;=Ferien!$C$17,V26&lt;=Ferien!$D$17),AND(V26&gt;=Ferien!$C$18,V26&lt;=Ferien!$D$18),AND(V26&gt;=Ferien!$C$19,V26&lt;=Ferien!$D$19),AND(V26&gt;=Ferien!$C$20,V26&lt;=Ferien!$D$20),AND(V26&gt;=Ferien!$C$21,V26&lt;=Ferien!$D$21))),1,0)</f>
        <v>1</v>
      </c>
      <c r="AA26" s="250">
        <f t="shared" ca="1" si="9"/>
        <v>45466</v>
      </c>
      <c r="AB26" s="573" t="str">
        <f t="shared" ca="1" si="10"/>
        <v/>
      </c>
      <c r="AC26" s="317" t="str">
        <f ca="1">IFERROR(VLOOKUP(AA26,Mond!$B$3:$C$59,2,0),"")</f>
        <v/>
      </c>
      <c r="AD26" s="302" t="str">
        <f ca="1">IFERROR(IF(VLOOKUP(AA26,Gießtage!$L$8:$L$98,1,0),1,0),"")</f>
        <v/>
      </c>
      <c r="AE26" s="251">
        <f ca="1">IF(AND(OR(AND(AA26&gt;=Ferien!$C$11,AA26&lt;=Ferien!$D$11),AND(AA26&gt;=Ferien!$C$12,AA26&lt;=Ferien!$D$12),AND(AA26&gt;=Ferien!$C$13,AA26&lt;=Ferien!$D$13),AND(AA26&gt;=Ferien!$C$14,AA26&lt;=Ferien!$D$14),AND(AA26&gt;=Ferien!$C$15,AA26&lt;=Ferien!$D$15),AND(AA26&gt;=Ferien!$C$16,AA26&lt;=Ferien!$D$16),AND(AA26&gt;=Ferien!$C$17,AA26&lt;=Ferien!$D$17),AND(AA26&gt;=Ferien!$C$18,AA26&lt;=Ferien!$D$18),AND(AA26&gt;=Ferien!$C$19,AA26&lt;=Ferien!$D$19),AND(AA26&gt;=Ferien!$C$20,AA26&lt;=Ferien!$D$20),AND(AA26&gt;=Ferien!$C$21,AA26&lt;=Ferien!$D$21))),1,0)</f>
        <v>0</v>
      </c>
      <c r="AF26" s="250">
        <f t="shared" ca="1" si="11"/>
        <v>45496</v>
      </c>
      <c r="AG26" s="573" t="str">
        <f t="shared" ca="1" si="12"/>
        <v/>
      </c>
      <c r="AH26" s="317" t="str">
        <f ca="1">IFERROR(VLOOKUP(AF26,Mond!$B$3:$C$59,2,0),"")</f>
        <v/>
      </c>
      <c r="AI26" s="302" t="str">
        <f ca="1">IFERROR(IF(VLOOKUP(AF26,Gießtage!$L$8:$L$98,1,0),1,0),"")</f>
        <v/>
      </c>
      <c r="AJ26" s="251">
        <f ca="1">IF(AND(OR(AND(AF26&gt;=Ferien!$C$11,AF26&lt;=Ferien!$D$11),AND(AF26&gt;=Ferien!$C$12,AF26&lt;=Ferien!$D$12),AND(AF26&gt;=Ferien!$C$13,AF26&lt;=Ferien!$D$13),AND(AF26&gt;=Ferien!$C$14,AF26&lt;=Ferien!$D$14),AND(AF26&gt;=Ferien!$C$15,AF26&lt;=Ferien!$D$15),AND(AF26&gt;=Ferien!$C$16,AF26&lt;=Ferien!$D$16),AND(AF26&gt;=Ferien!$C$17,AF26&lt;=Ferien!$D$17),AND(AF26&gt;=Ferien!$C$18,AF26&lt;=Ferien!$D$18),AND(AF26&gt;=Ferien!$C$19,AF26&lt;=Ferien!$D$19),AND(AF26&gt;=Ferien!$C$20,AF26&lt;=Ferien!$D$20),AND(AF26&gt;=Ferien!$C$21,AF26&lt;=Ferien!$D$21))),1,0)</f>
        <v>0</v>
      </c>
      <c r="AK26" s="250">
        <f t="shared" ca="1" si="13"/>
        <v>45527</v>
      </c>
      <c r="AL26" s="573" t="str">
        <f t="shared" ca="1" si="14"/>
        <v/>
      </c>
      <c r="AM26" s="317" t="str">
        <f ca="1">IFERROR(VLOOKUP(AK26,Mond!$B$3:$C$59,2,0),"")</f>
        <v/>
      </c>
      <c r="AN26" s="302" t="str">
        <f ca="1">IFERROR(IF(VLOOKUP(AK26,Gießtage!$L$8:$L$98,1,0),1,0),"")</f>
        <v/>
      </c>
      <c r="AO26" s="251">
        <f ca="1">IF(AND(OR(AND(AK26&gt;=Ferien!$C$11,AK26&lt;=Ferien!$D$11),AND(AK26&gt;=Ferien!$C$12,AK26&lt;=Ferien!$D$12),AND(AK26&gt;=Ferien!$C$13,AK26&lt;=Ferien!$D$13),AND(AK26&gt;=Ferien!$C$14,AK26&lt;=Ferien!$D$14),AND(AK26&gt;=Ferien!$C$15,AK26&lt;=Ferien!$D$15),AND(AK26&gt;=Ferien!$C$16,AK26&lt;=Ferien!$D$16),AND(AK26&gt;=Ferien!$C$17,AK26&lt;=Ferien!$D$17),AND(AK26&gt;=Ferien!$C$18,AK26&lt;=Ferien!$D$18),AND(AK26&gt;=Ferien!$C$19,AK26&lt;=Ferien!$D$19),AND(AK26&gt;=Ferien!$C$20,AK26&lt;=Ferien!$D$20),AND(AK26&gt;=Ferien!$C$21,AK26&lt;=Ferien!$D$21))),1,0)</f>
        <v>1</v>
      </c>
      <c r="AP26" s="250">
        <f t="shared" ca="1" si="15"/>
        <v>45558</v>
      </c>
      <c r="AQ26" s="573" t="str">
        <f t="shared" ca="1" si="16"/>
        <v/>
      </c>
      <c r="AR26" s="317" t="str">
        <f ca="1">IFERROR(VLOOKUP(AP26,Mond!$B$3:$C$59,2,0),"")</f>
        <v/>
      </c>
      <c r="AS26" s="302" t="str">
        <f ca="1">IFERROR(IF(VLOOKUP(AP26,Gießtage!$L$8:$L$98,1,0),1,0),"")</f>
        <v/>
      </c>
      <c r="AT26" s="251">
        <f ca="1">IF(AND(OR(AND(AP26&gt;=Ferien!$C$11,AP26&lt;=Ferien!$D$11),AND(AP26&gt;=Ferien!$C$12,AP26&lt;=Ferien!$D$12),AND(AP26&gt;=Ferien!$C$13,AP26&lt;=Ferien!$D$13),AND(AP26&gt;=Ferien!$C$14,AP26&lt;=Ferien!$D$14),AND(AP26&gt;=Ferien!$C$15,AP26&lt;=Ferien!$D$15),AND(AP26&gt;=Ferien!$C$16,AP26&lt;=Ferien!$D$16),AND(AP26&gt;=Ferien!$C$17,AP26&lt;=Ferien!$D$17),AND(AP26&gt;=Ferien!$C$18,AP26&lt;=Ferien!$D$18),AND(AP26&gt;=Ferien!$C$19,AP26&lt;=Ferien!$D$19),AND(AP26&gt;=Ferien!$C$20,AP26&lt;=Ferien!$D$20),AND(AP26&gt;=Ferien!$C$21,AP26&lt;=Ferien!$D$21))),1,0)</f>
        <v>0</v>
      </c>
      <c r="AU26" s="250">
        <f t="shared" ca="1" si="17"/>
        <v>45588</v>
      </c>
      <c r="AV26" s="573" t="str">
        <f t="shared" ca="1" si="18"/>
        <v>{</v>
      </c>
      <c r="AW26" s="317" t="str">
        <f ca="1">IFERROR(VLOOKUP(AU26,Mond!$B$3:$C$59,2,0),"")</f>
        <v/>
      </c>
      <c r="AX26" s="302">
        <f ca="1">IFERROR(IF(VLOOKUP(AU26,Gießtage!$L$8:$L$98,1,0),1,0),"")</f>
        <v>1</v>
      </c>
      <c r="AY26" s="251">
        <f ca="1">IF(AND(OR(AND(AU26&gt;=Ferien!$C$11,AU26&lt;=Ferien!$D$11),AND(AU26&gt;=Ferien!$C$12,AU26&lt;=Ferien!$D$12),AND(AU26&gt;=Ferien!$C$13,AU26&lt;=Ferien!$D$13),AND(AU26&gt;=Ferien!$C$14,AU26&lt;=Ferien!$D$14),AND(AU26&gt;=Ferien!$C$15,AU26&lt;=Ferien!$D$15),AND(AU26&gt;=Ferien!$C$16,AU26&lt;=Ferien!$D$16),AND(AU26&gt;=Ferien!$C$17,AU26&lt;=Ferien!$D$17),AND(AU26&gt;=Ferien!$C$18,AU26&lt;=Ferien!$D$18),AND(AU26&gt;=Ferien!$C$19,AU26&lt;=Ferien!$D$19),AND(AU26&gt;=Ferien!$C$20,AU26&lt;=Ferien!$D$20),AND(AU26&gt;=Ferien!$C$21,AU26&lt;=Ferien!$D$21))),1,0)</f>
        <v>0</v>
      </c>
      <c r="AZ26" s="250">
        <f t="shared" ca="1" si="19"/>
        <v>45619</v>
      </c>
      <c r="BA26" s="573" t="str">
        <f t="shared" ca="1" si="20"/>
        <v/>
      </c>
      <c r="BB26" s="317" t="str">
        <f ca="1">IFERROR(VLOOKUP(AZ26,Mond!$B$3:$C$59,2,0),"")</f>
        <v>T</v>
      </c>
      <c r="BC26" s="302" t="str">
        <f ca="1">IFERROR(IF(VLOOKUP(AZ26,Gießtage!$L$8:$L$98,1,0),1,0),"")</f>
        <v/>
      </c>
      <c r="BD26" s="251">
        <f ca="1">IF(AND(OR(AND(AZ26&gt;=Ferien!$C$11,AZ26&lt;=Ferien!$D$11),AND(AZ26&gt;=Ferien!$C$12,AZ26&lt;=Ferien!$D$12),AND(AZ26&gt;=Ferien!$C$13,AZ26&lt;=Ferien!$D$13),AND(AZ26&gt;=Ferien!$C$14,AZ26&lt;=Ferien!$D$14),AND(AZ26&gt;=Ferien!$C$15,AZ26&lt;=Ferien!$D$15),AND(AZ26&gt;=Ferien!$C$16,AZ26&lt;=Ferien!$D$16),AND(AZ26&gt;=Ferien!$C$17,AZ26&lt;=Ferien!$D$17),AND(AZ26&gt;=Ferien!$C$18,AZ26&lt;=Ferien!$D$18),AND(AZ26&gt;=Ferien!$C$19,AZ26&lt;=Ferien!$D$19),AND(AZ26&gt;=Ferien!$C$20,AZ26&lt;=Ferien!$D$20),AND(AZ26&gt;=Ferien!$C$21,AZ26&lt;=Ferien!$D$21))),1,0)</f>
        <v>0</v>
      </c>
      <c r="BE26" s="250">
        <f t="shared" ca="1" si="21"/>
        <v>45649</v>
      </c>
      <c r="BF26" s="573" t="str">
        <f t="shared" ca="1" si="22"/>
        <v/>
      </c>
      <c r="BG26" s="317" t="str">
        <f ca="1">IFERROR(VLOOKUP(BE26,Mond!$B$3:$C$59,2,0),"")</f>
        <v/>
      </c>
      <c r="BH26" s="302" t="str">
        <f ca="1">IFERROR(IF(VLOOKUP(BE26,Gießtage!$L$8:$L$98,1,0),1,0),"")</f>
        <v/>
      </c>
      <c r="BI26" s="252">
        <f ca="1">IF(AND(OR(AND(BE26&gt;=Ferien!$C$11,BE26&lt;=Ferien!$D$11),AND(BE26&gt;=Ferien!$C$12,BE26&lt;=Ferien!$D$12),AND(BE26&gt;=Ferien!$C$13,BE26&lt;=Ferien!$D$13),AND(BE26&gt;=Ferien!$C$14,BE26&lt;=Ferien!$D$14),AND(BE26&gt;=Ferien!$C$15,BE26&lt;=Ferien!$D$15),AND(BE26&gt;=Ferien!$C$16,BE26&lt;=Ferien!$D$16),AND(BE26&gt;=Ferien!$C$17,BE26&lt;=Ferien!$D$17),AND(BE26&gt;=Ferien!$C$18,BE26&lt;=Ferien!$D$18),AND(BE26&gt;=Ferien!$C$19,BE26&lt;=Ferien!$D$19),AND(BE26&gt;=Ferien!$C$20,BE26&lt;=Ferien!$D$20),AND(BE26&gt;=Ferien!$C$21,BE26&lt;=Ferien!$D$21))),1,0)</f>
        <v>1</v>
      </c>
      <c r="BJ26" s="452"/>
      <c r="BK26" s="452"/>
      <c r="BL26" s="453"/>
      <c r="BM26" s="454"/>
      <c r="BN26" s="453"/>
      <c r="BO26" s="454"/>
      <c r="BP26" s="253">
        <f t="shared" ca="1" si="33"/>
        <v>4</v>
      </c>
      <c r="BR26" s="235">
        <f t="shared" ca="1" si="34"/>
        <v>0</v>
      </c>
      <c r="BS26" s="235">
        <f t="shared" ca="1" si="35"/>
        <v>0</v>
      </c>
      <c r="BT26" s="238"/>
      <c r="BU26" s="238"/>
      <c r="BV26" s="238"/>
      <c r="BW26" s="238"/>
      <c r="BX26" s="238"/>
      <c r="BY26" s="238"/>
    </row>
    <row r="27" spans="2:77" ht="19.5" customHeight="1">
      <c r="B27" s="250">
        <f t="shared" ca="1" si="0"/>
        <v>45315</v>
      </c>
      <c r="C27" s="573" t="str">
        <f t="shared" ca="1" si="1"/>
        <v>{</v>
      </c>
      <c r="D27" s="317" t="str">
        <f ca="1">IFERROR(VLOOKUP(B27,Mond!$B$3:$C$59,2,0),"")</f>
        <v/>
      </c>
      <c r="E27" s="302">
        <f ca="1">IFERROR(IF(VLOOKUP(B27,Gießtage!$L$8:$L$98,1,0),1,0),"")</f>
        <v>1</v>
      </c>
      <c r="F27" s="251">
        <f ca="1">IF(AND(OR(AND(B27&gt;=Ferien!$C$11,B27&lt;=Ferien!$D$11),AND(B27&gt;=Ferien!$C$12,B27&lt;=Ferien!$D$12),AND(B27&gt;=Ferien!$C$13,B27&lt;=Ferien!$D$13),AND(B27&gt;=Ferien!$C$14,B27&lt;=Ferien!$D$14),AND(B27&gt;=Ferien!$C$15,B27&lt;=Ferien!$D$15),AND(B27&gt;=Ferien!$C$16,B27&lt;=Ferien!$D$16),AND(B27&gt;=Ferien!$C$17,B27&lt;=Ferien!$D$17),AND(B27&gt;=Ferien!$C$18,B27&lt;=Ferien!$D$18),AND(B27&gt;=Ferien!$C$19,B27&lt;=Ferien!$D$19),AND(B27&gt;=Ferien!$C$20,B27&lt;=Ferien!$D$20),AND(B27&gt;=Ferien!$C$21,B27&lt;=Ferien!$D$21))),1,0)</f>
        <v>0</v>
      </c>
      <c r="G27" s="250">
        <f t="shared" ca="1" si="2"/>
        <v>45346</v>
      </c>
      <c r="H27" s="573" t="s">
        <v>220</v>
      </c>
      <c r="I27" s="317" t="str">
        <f ca="1">IFERROR(VLOOKUP(G27,Mond!$B$3:$C$59,2,0),"")</f>
        <v>@</v>
      </c>
      <c r="J27" s="302" t="str">
        <f ca="1">IFERROR(IF(VLOOKUP(G27,Gießtage!$L$8:$L$98,1,0),1,0),"")</f>
        <v/>
      </c>
      <c r="K27" s="251">
        <f ca="1">IF(AND(OR(AND(G27&gt;=Ferien!$C$11,G27&lt;=Ferien!$D$11),AND(G27&gt;=Ferien!$C$12,G27&lt;=Ferien!$D$12),AND(G27&gt;=Ferien!$C$13,G27&lt;=Ferien!$D$13),AND(G27&gt;=Ferien!$C$14,G27&lt;=Ferien!$D$14),AND(G27&gt;=Ferien!$C$15,G27&lt;=Ferien!$D$15),AND(G27&gt;=Ferien!$C$16,G27&lt;=Ferien!$D$16),AND(G27&gt;=Ferien!$C$17,G27&lt;=Ferien!$D$17),AND(G27&gt;=Ferien!$C$18,G27&lt;=Ferien!$D$18),AND(G27&gt;=Ferien!$C$19,G27&lt;=Ferien!$D$19),AND(G27&gt;=Ferien!$C$20,G27&lt;=Ferien!$D$20),AND(G27&gt;=Ferien!$C$21,G27&lt;=Ferien!$D$21))),1,0)</f>
        <v>0</v>
      </c>
      <c r="L27" s="250">
        <f t="shared" ca="1" si="3"/>
        <v>45375</v>
      </c>
      <c r="M27" s="573" t="str">
        <f t="shared" ca="1" si="4"/>
        <v/>
      </c>
      <c r="N27" s="317" t="str">
        <f ca="1">IFERROR(VLOOKUP(L27,Mond!$B$3:$C$59,2,0),"")</f>
        <v/>
      </c>
      <c r="O27" s="302" t="str">
        <f ca="1">IFERROR(IF(VLOOKUP(L27,Gießtage!$L$8:$L$98,1,0),1,0),"")</f>
        <v/>
      </c>
      <c r="P27" s="251">
        <f ca="1">IF(AND(OR(AND(L27&gt;=Ferien!$C$11,L27&lt;=Ferien!$D$11),AND(L27&gt;=Ferien!$C$12,L27&lt;=Ferien!$D$12),AND(L27&gt;=Ferien!$C$13,L27&lt;=Ferien!$D$13),AND(L27&gt;=Ferien!$C$14,L27&lt;=Ferien!$D$14),AND(L27&gt;=Ferien!$C$15,L27&lt;=Ferien!$D$15),AND(L27&gt;=Ferien!$C$16,L27&lt;=Ferien!$D$16),AND(L27&gt;=Ferien!$C$17,L27&lt;=Ferien!$D$17),AND(L27&gt;=Ferien!$C$18,L27&lt;=Ferien!$D$18),AND(L27&gt;=Ferien!$C$19,L27&lt;=Ferien!$D$19),AND(L27&gt;=Ferien!$C$20,L27&lt;=Ferien!$D$20),AND(L27&gt;=Ferien!$C$21,L27&lt;=Ferien!$D$21))),1,0)</f>
        <v>1</v>
      </c>
      <c r="Q27" s="250">
        <f t="shared" ca="1" si="5"/>
        <v>45406</v>
      </c>
      <c r="R27" s="573" t="str">
        <f t="shared" ca="1" si="6"/>
        <v>{</v>
      </c>
      <c r="S27" s="317" t="str">
        <f ca="1">IFERROR(VLOOKUP(Q27,Mond!$B$3:$C$59,2,0),"")</f>
        <v>@</v>
      </c>
      <c r="T27" s="302">
        <f ca="1">IFERROR(IF(VLOOKUP(Q27,Gießtage!$L$8:$L$98,1,0),1,0),"")</f>
        <v>1</v>
      </c>
      <c r="U27" s="251">
        <f ca="1">IF(AND(OR(AND(Q27&gt;=Ferien!$C$11,Q27&lt;=Ferien!$D$11),AND(Q27&gt;=Ferien!$C$12,Q27&lt;=Ferien!$D$12),AND(Q27&gt;=Ferien!$C$13,Q27&lt;=Ferien!$D$13),AND(Q27&gt;=Ferien!$C$14,Q27&lt;=Ferien!$D$14),AND(Q27&gt;=Ferien!$C$15,Q27&lt;=Ferien!$D$15),AND(Q27&gt;=Ferien!$C$16,Q27&lt;=Ferien!$D$16),AND(Q27&gt;=Ferien!$C$17,Q27&lt;=Ferien!$D$17),AND(Q27&gt;=Ferien!$C$18,Q27&lt;=Ferien!$D$18),AND(Q27&gt;=Ferien!$C$19,Q27&lt;=Ferien!$D$19),AND(Q27&gt;=Ferien!$C$20,Q27&lt;=Ferien!$D$20),AND(Q27&gt;=Ferien!$C$21,Q27&lt;=Ferien!$D$21))),1,0)</f>
        <v>0</v>
      </c>
      <c r="V27" s="250">
        <f t="shared" ca="1" si="7"/>
        <v>45436</v>
      </c>
      <c r="W27" s="573" t="str">
        <f t="shared" ca="1" si="8"/>
        <v/>
      </c>
      <c r="X27" s="317" t="str">
        <f ca="1">IFERROR(VLOOKUP(V27,Mond!$B$3:$C$59,2,0),"")</f>
        <v/>
      </c>
      <c r="Y27" s="302" t="str">
        <f ca="1">IFERROR(IF(VLOOKUP(V27,Gießtage!$L$8:$L$98,1,0),1,0),"")</f>
        <v/>
      </c>
      <c r="Z27" s="251">
        <f ca="1">IF(AND(OR(AND(V27&gt;=Ferien!$C$11,V27&lt;=Ferien!$D$11),AND(V27&gt;=Ferien!$C$12,V27&lt;=Ferien!$D$12),AND(V27&gt;=Ferien!$C$13,V27&lt;=Ferien!$D$13),AND(V27&gt;=Ferien!$C$14,V27&lt;=Ferien!$D$14),AND(V27&gt;=Ferien!$C$15,V27&lt;=Ferien!$D$15),AND(V27&gt;=Ferien!$C$16,V27&lt;=Ferien!$D$16),AND(V27&gt;=Ferien!$C$17,V27&lt;=Ferien!$D$17),AND(V27&gt;=Ferien!$C$18,V27&lt;=Ferien!$D$18),AND(V27&gt;=Ferien!$C$19,V27&lt;=Ferien!$D$19),AND(V27&gt;=Ferien!$C$20,V27&lt;=Ferien!$D$20),AND(V27&gt;=Ferien!$C$21,V27&lt;=Ferien!$D$21))),1,0)</f>
        <v>1</v>
      </c>
      <c r="AA27" s="250">
        <f t="shared" ca="1" si="9"/>
        <v>45467</v>
      </c>
      <c r="AB27" s="573" t="str">
        <f t="shared" ca="1" si="10"/>
        <v/>
      </c>
      <c r="AC27" s="317" t="str">
        <f ca="1">IFERROR(VLOOKUP(AA27,Mond!$B$3:$C$59,2,0),"")</f>
        <v/>
      </c>
      <c r="AD27" s="302" t="str">
        <f ca="1">IFERROR(IF(VLOOKUP(AA27,Gießtage!$L$8:$L$98,1,0),1,0),"")</f>
        <v/>
      </c>
      <c r="AE27" s="251">
        <f ca="1">IF(AND(OR(AND(AA27&gt;=Ferien!$C$11,AA27&lt;=Ferien!$D$11),AND(AA27&gt;=Ferien!$C$12,AA27&lt;=Ferien!$D$12),AND(AA27&gt;=Ferien!$C$13,AA27&lt;=Ferien!$D$13),AND(AA27&gt;=Ferien!$C$14,AA27&lt;=Ferien!$D$14),AND(AA27&gt;=Ferien!$C$15,AA27&lt;=Ferien!$D$15),AND(AA27&gt;=Ferien!$C$16,AA27&lt;=Ferien!$D$16),AND(AA27&gt;=Ferien!$C$17,AA27&lt;=Ferien!$D$17),AND(AA27&gt;=Ferien!$C$18,AA27&lt;=Ferien!$D$18),AND(AA27&gt;=Ferien!$C$19,AA27&lt;=Ferien!$D$19),AND(AA27&gt;=Ferien!$C$20,AA27&lt;=Ferien!$D$20),AND(AA27&gt;=Ferien!$C$21,AA27&lt;=Ferien!$D$21))),1,0)</f>
        <v>0</v>
      </c>
      <c r="AF27" s="250">
        <f t="shared" ca="1" si="11"/>
        <v>45497</v>
      </c>
      <c r="AG27" s="573" t="str">
        <f t="shared" ca="1" si="12"/>
        <v>{</v>
      </c>
      <c r="AH27" s="317" t="str">
        <f ca="1">IFERROR(VLOOKUP(AF27,Mond!$B$3:$C$59,2,0),"")</f>
        <v/>
      </c>
      <c r="AI27" s="302">
        <f ca="1">IFERROR(IF(VLOOKUP(AF27,Gießtage!$L$8:$L$98,1,0),1,0),"")</f>
        <v>1</v>
      </c>
      <c r="AJ27" s="251">
        <f ca="1">IF(AND(OR(AND(AF27&gt;=Ferien!$C$11,AF27&lt;=Ferien!$D$11),AND(AF27&gt;=Ferien!$C$12,AF27&lt;=Ferien!$D$12),AND(AF27&gt;=Ferien!$C$13,AF27&lt;=Ferien!$D$13),AND(AF27&gt;=Ferien!$C$14,AF27&lt;=Ferien!$D$14),AND(AF27&gt;=Ferien!$C$15,AF27&lt;=Ferien!$D$15),AND(AF27&gt;=Ferien!$C$16,AF27&lt;=Ferien!$D$16),AND(AF27&gt;=Ferien!$C$17,AF27&lt;=Ferien!$D$17),AND(AF27&gt;=Ferien!$C$18,AF27&lt;=Ferien!$D$18),AND(AF27&gt;=Ferien!$C$19,AF27&lt;=Ferien!$D$19),AND(AF27&gt;=Ferien!$C$20,AF27&lt;=Ferien!$D$20),AND(AF27&gt;=Ferien!$C$21,AF27&lt;=Ferien!$D$21))),1,0)</f>
        <v>0</v>
      </c>
      <c r="AK27" s="250">
        <f t="shared" ca="1" si="13"/>
        <v>45528</v>
      </c>
      <c r="AL27" s="573" t="str">
        <f t="shared" ca="1" si="14"/>
        <v/>
      </c>
      <c r="AM27" s="317" t="str">
        <f ca="1">IFERROR(VLOOKUP(AK27,Mond!$B$3:$C$59,2,0),"")</f>
        <v/>
      </c>
      <c r="AN27" s="302" t="str">
        <f ca="1">IFERROR(IF(VLOOKUP(AK27,Gießtage!$L$8:$L$98,1,0),1,0),"")</f>
        <v/>
      </c>
      <c r="AO27" s="251">
        <f ca="1">IF(AND(OR(AND(AK27&gt;=Ferien!$C$11,AK27&lt;=Ferien!$D$11),AND(AK27&gt;=Ferien!$C$12,AK27&lt;=Ferien!$D$12),AND(AK27&gt;=Ferien!$C$13,AK27&lt;=Ferien!$D$13),AND(AK27&gt;=Ferien!$C$14,AK27&lt;=Ferien!$D$14),AND(AK27&gt;=Ferien!$C$15,AK27&lt;=Ferien!$D$15),AND(AK27&gt;=Ferien!$C$16,AK27&lt;=Ferien!$D$16),AND(AK27&gt;=Ferien!$C$17,AK27&lt;=Ferien!$D$17),AND(AK27&gt;=Ferien!$C$18,AK27&lt;=Ferien!$D$18),AND(AK27&gt;=Ferien!$C$19,AK27&lt;=Ferien!$D$19),AND(AK27&gt;=Ferien!$C$20,AK27&lt;=Ferien!$D$20),AND(AK27&gt;=Ferien!$C$21,AK27&lt;=Ferien!$D$21))),1,0)</f>
        <v>1</v>
      </c>
      <c r="AP27" s="250">
        <f t="shared" ca="1" si="15"/>
        <v>45559</v>
      </c>
      <c r="AQ27" s="573" t="str">
        <f t="shared" ca="1" si="16"/>
        <v/>
      </c>
      <c r="AR27" s="317" t="str">
        <f ca="1">IFERROR(VLOOKUP(AP27,Mond!$B$3:$C$59,2,0),"")</f>
        <v>T</v>
      </c>
      <c r="AS27" s="302" t="str">
        <f ca="1">IFERROR(IF(VLOOKUP(AP27,Gießtage!$L$8:$L$98,1,0),1,0),"")</f>
        <v/>
      </c>
      <c r="AT27" s="251">
        <f ca="1">IF(AND(OR(AND(AP27&gt;=Ferien!$C$11,AP27&lt;=Ferien!$D$11),AND(AP27&gt;=Ferien!$C$12,AP27&lt;=Ferien!$D$12),AND(AP27&gt;=Ferien!$C$13,AP27&lt;=Ferien!$D$13),AND(AP27&gt;=Ferien!$C$14,AP27&lt;=Ferien!$D$14),AND(AP27&gt;=Ferien!$C$15,AP27&lt;=Ferien!$D$15),AND(AP27&gt;=Ferien!$C$16,AP27&lt;=Ferien!$D$16),AND(AP27&gt;=Ferien!$C$17,AP27&lt;=Ferien!$D$17),AND(AP27&gt;=Ferien!$C$18,AP27&lt;=Ferien!$D$18),AND(AP27&gt;=Ferien!$C$19,AP27&lt;=Ferien!$D$19),AND(AP27&gt;=Ferien!$C$20,AP27&lt;=Ferien!$D$20),AND(AP27&gt;=Ferien!$C$21,AP27&lt;=Ferien!$D$21))),1,0)</f>
        <v>0</v>
      </c>
      <c r="AU27" s="250">
        <f t="shared" ca="1" si="17"/>
        <v>45589</v>
      </c>
      <c r="AV27" s="573" t="str">
        <f t="shared" ca="1" si="18"/>
        <v/>
      </c>
      <c r="AW27" s="317" t="str">
        <f ca="1">IFERROR(VLOOKUP(AU27,Mond!$B$3:$C$59,2,0),"")</f>
        <v>T</v>
      </c>
      <c r="AX27" s="302" t="str">
        <f ca="1">IFERROR(IF(VLOOKUP(AU27,Gießtage!$L$8:$L$98,1,0),1,0),"")</f>
        <v/>
      </c>
      <c r="AY27" s="251">
        <f ca="1">IF(AND(OR(AND(AU27&gt;=Ferien!$C$11,AU27&lt;=Ferien!$D$11),AND(AU27&gt;=Ferien!$C$12,AU27&lt;=Ferien!$D$12),AND(AU27&gt;=Ferien!$C$13,AU27&lt;=Ferien!$D$13),AND(AU27&gt;=Ferien!$C$14,AU27&lt;=Ferien!$D$14),AND(AU27&gt;=Ferien!$C$15,AU27&lt;=Ferien!$D$15),AND(AU27&gt;=Ferien!$C$16,AU27&lt;=Ferien!$D$16),AND(AU27&gt;=Ferien!$C$17,AU27&lt;=Ferien!$D$17),AND(AU27&gt;=Ferien!$C$18,AU27&lt;=Ferien!$D$18),AND(AU27&gt;=Ferien!$C$19,AU27&lt;=Ferien!$D$19),AND(AU27&gt;=Ferien!$C$20,AU27&lt;=Ferien!$D$20),AND(AU27&gt;=Ferien!$C$21,AU27&lt;=Ferien!$D$21))),1,0)</f>
        <v>0</v>
      </c>
      <c r="AZ27" s="250">
        <f t="shared" ca="1" si="19"/>
        <v>45620</v>
      </c>
      <c r="BA27" s="573" t="str">
        <f t="shared" ca="1" si="20"/>
        <v/>
      </c>
      <c r="BB27" s="317" t="str">
        <f ca="1">IFERROR(VLOOKUP(AZ27,Mond!$B$3:$C$59,2,0),"")</f>
        <v/>
      </c>
      <c r="BC27" s="302" t="str">
        <f ca="1">IFERROR(IF(VLOOKUP(AZ27,Gießtage!$L$8:$L$98,1,0),1,0),"")</f>
        <v/>
      </c>
      <c r="BD27" s="251">
        <f ca="1">IF(AND(OR(AND(AZ27&gt;=Ferien!$C$11,AZ27&lt;=Ferien!$D$11),AND(AZ27&gt;=Ferien!$C$12,AZ27&lt;=Ferien!$D$12),AND(AZ27&gt;=Ferien!$C$13,AZ27&lt;=Ferien!$D$13),AND(AZ27&gt;=Ferien!$C$14,AZ27&lt;=Ferien!$D$14),AND(AZ27&gt;=Ferien!$C$15,AZ27&lt;=Ferien!$D$15),AND(AZ27&gt;=Ferien!$C$16,AZ27&lt;=Ferien!$D$16),AND(AZ27&gt;=Ferien!$C$17,AZ27&lt;=Ferien!$D$17),AND(AZ27&gt;=Ferien!$C$18,AZ27&lt;=Ferien!$D$18),AND(AZ27&gt;=Ferien!$C$19,AZ27&lt;=Ferien!$D$19),AND(AZ27&gt;=Ferien!$C$20,AZ27&lt;=Ferien!$D$20),AND(AZ27&gt;=Ferien!$C$21,AZ27&lt;=Ferien!$D$21))),1,0)</f>
        <v>0</v>
      </c>
      <c r="BE27" s="250">
        <f t="shared" ca="1" si="21"/>
        <v>45650</v>
      </c>
      <c r="BF27" s="573" t="str">
        <f t="shared" ca="1" si="22"/>
        <v/>
      </c>
      <c r="BG27" s="317" t="str">
        <f ca="1">IFERROR(VLOOKUP(BE27,Mond!$B$3:$C$59,2,0),"")</f>
        <v/>
      </c>
      <c r="BH27" s="302" t="str">
        <f ca="1">IFERROR(IF(VLOOKUP(BE27,Gießtage!$L$8:$L$98,1,0),1,0),"")</f>
        <v/>
      </c>
      <c r="BI27" s="252">
        <f ca="1">IF(AND(OR(AND(BE27&gt;=Ferien!$C$11,BE27&lt;=Ferien!$D$11),AND(BE27&gt;=Ferien!$C$12,BE27&lt;=Ferien!$D$12),AND(BE27&gt;=Ferien!$C$13,BE27&lt;=Ferien!$D$13),AND(BE27&gt;=Ferien!$C$14,BE27&lt;=Ferien!$D$14),AND(BE27&gt;=Ferien!$C$15,BE27&lt;=Ferien!$D$15),AND(BE27&gt;=Ferien!$C$16,BE27&lt;=Ferien!$D$16),AND(BE27&gt;=Ferien!$C$17,BE27&lt;=Ferien!$D$17),AND(BE27&gt;=Ferien!$C$18,BE27&lt;=Ferien!$D$18),AND(BE27&gt;=Ferien!$C$19,BE27&lt;=Ferien!$D$19),AND(BE27&gt;=Ferien!$C$20,BE27&lt;=Ferien!$D$20),AND(BE27&gt;=Ferien!$C$21,BE27&lt;=Ferien!$D$21))),1,0)</f>
        <v>1</v>
      </c>
      <c r="BP27" s="253" t="str">
        <f t="shared" si="33"/>
        <v/>
      </c>
      <c r="BR27" s="235">
        <f t="shared" si="34"/>
        <v>1</v>
      </c>
      <c r="BS27" s="235">
        <f t="shared" si="35"/>
        <v>0</v>
      </c>
      <c r="BT27" s="238"/>
      <c r="BU27" s="238"/>
      <c r="BV27" s="238"/>
      <c r="BW27" s="238"/>
      <c r="BX27" s="238"/>
      <c r="BY27" s="238"/>
    </row>
    <row r="28" spans="2:77" ht="19.5" customHeight="1" thickBot="1">
      <c r="B28" s="250">
        <f t="shared" ca="1" si="0"/>
        <v>45316</v>
      </c>
      <c r="C28" s="573" t="str">
        <f t="shared" ca="1" si="1"/>
        <v/>
      </c>
      <c r="D28" s="317" t="str">
        <f ca="1">IFERROR(VLOOKUP(B28,Mond!$B$3:$C$59,2,0),"")</f>
        <v>@</v>
      </c>
      <c r="E28" s="302" t="str">
        <f ca="1">IFERROR(IF(VLOOKUP(B28,Gießtage!$L$8:$L$98,1,0),1,0),"")</f>
        <v/>
      </c>
      <c r="F28" s="251">
        <f ca="1">IF(AND(OR(AND(B28&gt;=Ferien!$C$11,B28&lt;=Ferien!$D$11),AND(B28&gt;=Ferien!$C$12,B28&lt;=Ferien!$D$12),AND(B28&gt;=Ferien!$C$13,B28&lt;=Ferien!$D$13),AND(B28&gt;=Ferien!$C$14,B28&lt;=Ferien!$D$14),AND(B28&gt;=Ferien!$C$15,B28&lt;=Ferien!$D$15),AND(B28&gt;=Ferien!$C$16,B28&lt;=Ferien!$D$16),AND(B28&gt;=Ferien!$C$17,B28&lt;=Ferien!$D$17),AND(B28&gt;=Ferien!$C$18,B28&lt;=Ferien!$D$18),AND(B28&gt;=Ferien!$C$19,B28&lt;=Ferien!$D$19),AND(B28&gt;=Ferien!$C$20,B28&lt;=Ferien!$D$20),AND(B28&gt;=Ferien!$C$21,B28&lt;=Ferien!$D$21))),1,0)</f>
        <v>0</v>
      </c>
      <c r="G28" s="250">
        <f t="shared" ca="1" si="2"/>
        <v>45347</v>
      </c>
      <c r="H28" s="573" t="s">
        <v>258</v>
      </c>
      <c r="I28" s="317" t="str">
        <f ca="1">IFERROR(VLOOKUP(G28,Mond!$B$3:$C$59,2,0),"")</f>
        <v/>
      </c>
      <c r="J28" s="302" t="str">
        <f ca="1">IFERROR(IF(VLOOKUP(G28,Gießtage!$L$8:$L$98,1,0),1,0),"")</f>
        <v/>
      </c>
      <c r="K28" s="251">
        <f ca="1">IF(AND(OR(AND(G28&gt;=Ferien!$C$11,G28&lt;=Ferien!$D$11),AND(G28&gt;=Ferien!$C$12,G28&lt;=Ferien!$D$12),AND(G28&gt;=Ferien!$C$13,G28&lt;=Ferien!$D$13),AND(G28&gt;=Ferien!$C$14,G28&lt;=Ferien!$D$14),AND(G28&gt;=Ferien!$C$15,G28&lt;=Ferien!$D$15),AND(G28&gt;=Ferien!$C$16,G28&lt;=Ferien!$D$16),AND(G28&gt;=Ferien!$C$17,G28&lt;=Ferien!$D$17),AND(G28&gt;=Ferien!$C$18,G28&lt;=Ferien!$D$18),AND(G28&gt;=Ferien!$C$19,G28&lt;=Ferien!$D$19),AND(G28&gt;=Ferien!$C$20,G28&lt;=Ferien!$D$20),AND(G28&gt;=Ferien!$C$21,G28&lt;=Ferien!$D$21))),1,0)</f>
        <v>0</v>
      </c>
      <c r="L28" s="250">
        <f t="shared" ca="1" si="3"/>
        <v>45376</v>
      </c>
      <c r="M28" s="573" t="str">
        <f t="shared" ca="1" si="4"/>
        <v/>
      </c>
      <c r="N28" s="317" t="str">
        <f ca="1">IFERROR(VLOOKUP(L28,Mond!$B$3:$C$59,2,0),"")</f>
        <v>@</v>
      </c>
      <c r="O28" s="302" t="str">
        <f ca="1">IFERROR(IF(VLOOKUP(L28,Gießtage!$L$8:$L$98,1,0),1,0),"")</f>
        <v/>
      </c>
      <c r="P28" s="251">
        <f ca="1">IF(AND(OR(AND(L28&gt;=Ferien!$C$11,L28&lt;=Ferien!$D$11),AND(L28&gt;=Ferien!$C$12,L28&lt;=Ferien!$D$12),AND(L28&gt;=Ferien!$C$13,L28&lt;=Ferien!$D$13),AND(L28&gt;=Ferien!$C$14,L28&lt;=Ferien!$D$14),AND(L28&gt;=Ferien!$C$15,L28&lt;=Ferien!$D$15),AND(L28&gt;=Ferien!$C$16,L28&lt;=Ferien!$D$16),AND(L28&gt;=Ferien!$C$17,L28&lt;=Ferien!$D$17),AND(L28&gt;=Ferien!$C$18,L28&lt;=Ferien!$D$18),AND(L28&gt;=Ferien!$C$19,L28&lt;=Ferien!$D$19),AND(L28&gt;=Ferien!$C$20,L28&lt;=Ferien!$D$20),AND(L28&gt;=Ferien!$C$21,L28&lt;=Ferien!$D$21))),1,0)</f>
        <v>1</v>
      </c>
      <c r="Q28" s="250">
        <f t="shared" ca="1" si="5"/>
        <v>45407</v>
      </c>
      <c r="R28" s="573" t="str">
        <f t="shared" ca="1" si="6"/>
        <v>{</v>
      </c>
      <c r="S28" s="317" t="str">
        <f ca="1">IFERROR(VLOOKUP(Q28,Mond!$B$3:$C$59,2,0),"")</f>
        <v/>
      </c>
      <c r="T28" s="302">
        <f ca="1">IFERROR(IF(VLOOKUP(Q28,Gießtage!$L$8:$L$98,1,0),1,0),"")</f>
        <v>1</v>
      </c>
      <c r="U28" s="251">
        <f ca="1">IF(AND(OR(AND(Q28&gt;=Ferien!$C$11,Q28&lt;=Ferien!$D$11),AND(Q28&gt;=Ferien!$C$12,Q28&lt;=Ferien!$D$12),AND(Q28&gt;=Ferien!$C$13,Q28&lt;=Ferien!$D$13),AND(Q28&gt;=Ferien!$C$14,Q28&lt;=Ferien!$D$14),AND(Q28&gt;=Ferien!$C$15,Q28&lt;=Ferien!$D$15),AND(Q28&gt;=Ferien!$C$16,Q28&lt;=Ferien!$D$16),AND(Q28&gt;=Ferien!$C$17,Q28&lt;=Ferien!$D$17),AND(Q28&gt;=Ferien!$C$18,Q28&lt;=Ferien!$D$18),AND(Q28&gt;=Ferien!$C$19,Q28&lt;=Ferien!$D$19),AND(Q28&gt;=Ferien!$C$20,Q28&lt;=Ferien!$D$20),AND(Q28&gt;=Ferien!$C$21,Q28&lt;=Ferien!$D$21))),1,0)</f>
        <v>0</v>
      </c>
      <c r="V28" s="250">
        <f t="shared" ca="1" si="7"/>
        <v>45437</v>
      </c>
      <c r="W28" s="573" t="str">
        <f t="shared" ca="1" si="8"/>
        <v/>
      </c>
      <c r="X28" s="317" t="str">
        <f ca="1">IFERROR(VLOOKUP(V28,Mond!$B$3:$C$59,2,0),"")</f>
        <v/>
      </c>
      <c r="Y28" s="302" t="str">
        <f ca="1">IFERROR(IF(VLOOKUP(V28,Gießtage!$L$8:$L$98,1,0),1,0),"")</f>
        <v/>
      </c>
      <c r="Z28" s="251">
        <f ca="1">IF(AND(OR(AND(V28&gt;=Ferien!$C$11,V28&lt;=Ferien!$D$11),AND(V28&gt;=Ferien!$C$12,V28&lt;=Ferien!$D$12),AND(V28&gt;=Ferien!$C$13,V28&lt;=Ferien!$D$13),AND(V28&gt;=Ferien!$C$14,V28&lt;=Ferien!$D$14),AND(V28&gt;=Ferien!$C$15,V28&lt;=Ferien!$D$15),AND(V28&gt;=Ferien!$C$16,V28&lt;=Ferien!$D$16),AND(V28&gt;=Ferien!$C$17,V28&lt;=Ferien!$D$17),AND(V28&gt;=Ferien!$C$18,V28&lt;=Ferien!$D$18),AND(V28&gt;=Ferien!$C$19,V28&lt;=Ferien!$D$19),AND(V28&gt;=Ferien!$C$20,V28&lt;=Ferien!$D$20),AND(V28&gt;=Ferien!$C$21,V28&lt;=Ferien!$D$21))),1,0)</f>
        <v>1</v>
      </c>
      <c r="AA28" s="250">
        <f t="shared" ca="1" si="9"/>
        <v>45468</v>
      </c>
      <c r="AB28" s="573" t="str">
        <f t="shared" ca="1" si="10"/>
        <v/>
      </c>
      <c r="AC28" s="317" t="str">
        <f ca="1">IFERROR(VLOOKUP(AA28,Mond!$B$3:$C$59,2,0),"")</f>
        <v/>
      </c>
      <c r="AD28" s="302" t="str">
        <f ca="1">IFERROR(IF(VLOOKUP(AA28,Gießtage!$L$8:$L$98,1,0),1,0),"")</f>
        <v/>
      </c>
      <c r="AE28" s="251">
        <f ca="1">IF(AND(OR(AND(AA28&gt;=Ferien!$C$11,AA28&lt;=Ferien!$D$11),AND(AA28&gt;=Ferien!$C$12,AA28&lt;=Ferien!$D$12),AND(AA28&gt;=Ferien!$C$13,AA28&lt;=Ferien!$D$13),AND(AA28&gt;=Ferien!$C$14,AA28&lt;=Ferien!$D$14),AND(AA28&gt;=Ferien!$C$15,AA28&lt;=Ferien!$D$15),AND(AA28&gt;=Ferien!$C$16,AA28&lt;=Ferien!$D$16),AND(AA28&gt;=Ferien!$C$17,AA28&lt;=Ferien!$D$17),AND(AA28&gt;=Ferien!$C$18,AA28&lt;=Ferien!$D$18),AND(AA28&gt;=Ferien!$C$19,AA28&lt;=Ferien!$D$19),AND(AA28&gt;=Ferien!$C$20,AA28&lt;=Ferien!$D$20),AND(AA28&gt;=Ferien!$C$21,AA28&lt;=Ferien!$D$21))),1,0)</f>
        <v>0</v>
      </c>
      <c r="AF28" s="250">
        <f t="shared" ca="1" si="11"/>
        <v>45498</v>
      </c>
      <c r="AG28" s="573" t="str">
        <f t="shared" ca="1" si="12"/>
        <v>{</v>
      </c>
      <c r="AH28" s="317" t="str">
        <f ca="1">IFERROR(VLOOKUP(AF28,Mond!$B$3:$C$59,2,0),"")</f>
        <v/>
      </c>
      <c r="AI28" s="302">
        <f ca="1">IFERROR(IF(VLOOKUP(AF28,Gießtage!$L$8:$L$98,1,0),1,0),"")</f>
        <v>1</v>
      </c>
      <c r="AJ28" s="251">
        <f ca="1">IF(AND(OR(AND(AF28&gt;=Ferien!$C$11,AF28&lt;=Ferien!$D$11),AND(AF28&gt;=Ferien!$C$12,AF28&lt;=Ferien!$D$12),AND(AF28&gt;=Ferien!$C$13,AF28&lt;=Ferien!$D$13),AND(AF28&gt;=Ferien!$C$14,AF28&lt;=Ferien!$D$14),AND(AF28&gt;=Ferien!$C$15,AF28&lt;=Ferien!$D$15),AND(AF28&gt;=Ferien!$C$16,AF28&lt;=Ferien!$D$16),AND(AF28&gt;=Ferien!$C$17,AF28&lt;=Ferien!$D$17),AND(AF28&gt;=Ferien!$C$18,AF28&lt;=Ferien!$D$18),AND(AF28&gt;=Ferien!$C$19,AF28&lt;=Ferien!$D$19),AND(AF28&gt;=Ferien!$C$20,AF28&lt;=Ferien!$D$20),AND(AF28&gt;=Ferien!$C$21,AF28&lt;=Ferien!$D$21))),1,0)</f>
        <v>1</v>
      </c>
      <c r="AK28" s="250">
        <f t="shared" ca="1" si="13"/>
        <v>45529</v>
      </c>
      <c r="AL28" s="573" t="str">
        <f t="shared" ca="1" si="14"/>
        <v/>
      </c>
      <c r="AM28" s="317" t="str">
        <f ca="1">IFERROR(VLOOKUP(AK28,Mond!$B$3:$C$59,2,0),"")</f>
        <v/>
      </c>
      <c r="AN28" s="302" t="str">
        <f ca="1">IFERROR(IF(VLOOKUP(AK28,Gießtage!$L$8:$L$98,1,0),1,0),"")</f>
        <v/>
      </c>
      <c r="AO28" s="251">
        <f ca="1">IF(AND(OR(AND(AK28&gt;=Ferien!$C$11,AK28&lt;=Ferien!$D$11),AND(AK28&gt;=Ferien!$C$12,AK28&lt;=Ferien!$D$12),AND(AK28&gt;=Ferien!$C$13,AK28&lt;=Ferien!$D$13),AND(AK28&gt;=Ferien!$C$14,AK28&lt;=Ferien!$D$14),AND(AK28&gt;=Ferien!$C$15,AK28&lt;=Ferien!$D$15),AND(AK28&gt;=Ferien!$C$16,AK28&lt;=Ferien!$D$16),AND(AK28&gt;=Ferien!$C$17,AK28&lt;=Ferien!$D$17),AND(AK28&gt;=Ferien!$C$18,AK28&lt;=Ferien!$D$18),AND(AK28&gt;=Ferien!$C$19,AK28&lt;=Ferien!$D$19),AND(AK28&gt;=Ferien!$C$20,AK28&lt;=Ferien!$D$20),AND(AK28&gt;=Ferien!$C$21,AK28&lt;=Ferien!$D$21))),1,0)</f>
        <v>1</v>
      </c>
      <c r="AP28" s="250">
        <f t="shared" ca="1" si="15"/>
        <v>45560</v>
      </c>
      <c r="AQ28" s="573" t="str">
        <f t="shared" ca="1" si="16"/>
        <v>{</v>
      </c>
      <c r="AR28" s="317" t="str">
        <f ca="1">IFERROR(VLOOKUP(AP28,Mond!$B$3:$C$59,2,0),"")</f>
        <v/>
      </c>
      <c r="AS28" s="302">
        <f ca="1">IFERROR(IF(VLOOKUP(AP28,Gießtage!$L$8:$L$98,1,0),1,0),"")</f>
        <v>1</v>
      </c>
      <c r="AT28" s="251">
        <f ca="1">IF(AND(OR(AND(AP28&gt;=Ferien!$C$11,AP28&lt;=Ferien!$D$11),AND(AP28&gt;=Ferien!$C$12,AP28&lt;=Ferien!$D$12),AND(AP28&gt;=Ferien!$C$13,AP28&lt;=Ferien!$D$13),AND(AP28&gt;=Ferien!$C$14,AP28&lt;=Ferien!$D$14),AND(AP28&gt;=Ferien!$C$15,AP28&lt;=Ferien!$D$15),AND(AP28&gt;=Ferien!$C$16,AP28&lt;=Ferien!$D$16),AND(AP28&gt;=Ferien!$C$17,AP28&lt;=Ferien!$D$17),AND(AP28&gt;=Ferien!$C$18,AP28&lt;=Ferien!$D$18),AND(AP28&gt;=Ferien!$C$19,AP28&lt;=Ferien!$D$19),AND(AP28&gt;=Ferien!$C$20,AP28&lt;=Ferien!$D$20),AND(AP28&gt;=Ferien!$C$21,AP28&lt;=Ferien!$D$21))),1,0)</f>
        <v>0</v>
      </c>
      <c r="AU28" s="250">
        <f t="shared" ca="1" si="17"/>
        <v>45590</v>
      </c>
      <c r="AV28" s="573" t="str">
        <f t="shared" ca="1" si="18"/>
        <v/>
      </c>
      <c r="AW28" s="317" t="str">
        <f ca="1">IFERROR(VLOOKUP(AU28,Mond!$B$3:$C$59,2,0),"")</f>
        <v/>
      </c>
      <c r="AX28" s="302" t="str">
        <f ca="1">IFERROR(IF(VLOOKUP(AU28,Gießtage!$L$8:$L$98,1,0),1,0),"")</f>
        <v/>
      </c>
      <c r="AY28" s="251">
        <f ca="1">IF(AND(OR(AND(AU28&gt;=Ferien!$C$11,AU28&lt;=Ferien!$D$11),AND(AU28&gt;=Ferien!$C$12,AU28&lt;=Ferien!$D$12),AND(AU28&gt;=Ferien!$C$13,AU28&lt;=Ferien!$D$13),AND(AU28&gt;=Ferien!$C$14,AU28&lt;=Ferien!$D$14),AND(AU28&gt;=Ferien!$C$15,AU28&lt;=Ferien!$D$15),AND(AU28&gt;=Ferien!$C$16,AU28&lt;=Ferien!$D$16),AND(AU28&gt;=Ferien!$C$17,AU28&lt;=Ferien!$D$17),AND(AU28&gt;=Ferien!$C$18,AU28&lt;=Ferien!$D$18),AND(AU28&gt;=Ferien!$C$19,AU28&lt;=Ferien!$D$19),AND(AU28&gt;=Ferien!$C$20,AU28&lt;=Ferien!$D$20),AND(AU28&gt;=Ferien!$C$21,AU28&lt;=Ferien!$D$21))),1,0)</f>
        <v>0</v>
      </c>
      <c r="AZ28" s="250">
        <f t="shared" ca="1" si="19"/>
        <v>45621</v>
      </c>
      <c r="BA28" s="573" t="str">
        <f t="shared" ca="1" si="20"/>
        <v/>
      </c>
      <c r="BB28" s="317" t="str">
        <f ca="1">IFERROR(VLOOKUP(AZ28,Mond!$B$3:$C$59,2,0),"")</f>
        <v/>
      </c>
      <c r="BC28" s="302" t="str">
        <f ca="1">IFERROR(IF(VLOOKUP(AZ28,Gießtage!$L$8:$L$98,1,0),1,0),"")</f>
        <v/>
      </c>
      <c r="BD28" s="251">
        <f ca="1">IF(AND(OR(AND(AZ28&gt;=Ferien!$C$11,AZ28&lt;=Ferien!$D$11),AND(AZ28&gt;=Ferien!$C$12,AZ28&lt;=Ferien!$D$12),AND(AZ28&gt;=Ferien!$C$13,AZ28&lt;=Ferien!$D$13),AND(AZ28&gt;=Ferien!$C$14,AZ28&lt;=Ferien!$D$14),AND(AZ28&gt;=Ferien!$C$15,AZ28&lt;=Ferien!$D$15),AND(AZ28&gt;=Ferien!$C$16,AZ28&lt;=Ferien!$D$16),AND(AZ28&gt;=Ferien!$C$17,AZ28&lt;=Ferien!$D$17),AND(AZ28&gt;=Ferien!$C$18,AZ28&lt;=Ferien!$D$18),AND(AZ28&gt;=Ferien!$C$19,AZ28&lt;=Ferien!$D$19),AND(AZ28&gt;=Ferien!$C$20,AZ28&lt;=Ferien!$D$20),AND(AZ28&gt;=Ferien!$C$21,AZ28&lt;=Ferien!$D$21))),1,0)</f>
        <v>0</v>
      </c>
      <c r="BE28" s="250">
        <f t="shared" ca="1" si="21"/>
        <v>45651</v>
      </c>
      <c r="BF28" s="573" t="str">
        <f t="shared" ca="1" si="22"/>
        <v/>
      </c>
      <c r="BG28" s="317" t="str">
        <f ca="1">IFERROR(VLOOKUP(BE28,Mond!$B$3:$C$59,2,0),"")</f>
        <v/>
      </c>
      <c r="BH28" s="302" t="str">
        <f ca="1">IFERROR(IF(VLOOKUP(BE28,Gießtage!$L$8:$L$98,1,0),1,0),"")</f>
        <v/>
      </c>
      <c r="BI28" s="252">
        <f ca="1">IF(AND(OR(AND(BE28&gt;=Ferien!$C$11,BE28&lt;=Ferien!$D$11),AND(BE28&gt;=Ferien!$C$12,BE28&lt;=Ferien!$D$12),AND(BE28&gt;=Ferien!$C$13,BE28&lt;=Ferien!$D$13),AND(BE28&gt;=Ferien!$C$14,BE28&lt;=Ferien!$D$14),AND(BE28&gt;=Ferien!$C$15,BE28&lt;=Ferien!$D$15),AND(BE28&gt;=Ferien!$C$16,BE28&lt;=Ferien!$D$16),AND(BE28&gt;=Ferien!$C$17,BE28&lt;=Ferien!$D$17),AND(BE28&gt;=Ferien!$C$18,BE28&lt;=Ferien!$D$18),AND(BE28&gt;=Ferien!$C$19,BE28&lt;=Ferien!$D$19),AND(BE28&gt;=Ferien!$C$20,BE28&lt;=Ferien!$D$20),AND(BE28&gt;=Ferien!$C$21,BE28&lt;=Ferien!$D$21))),1,0)</f>
        <v>1</v>
      </c>
      <c r="BJ28" s="238"/>
      <c r="BK28" s="238"/>
      <c r="BL28" s="238"/>
      <c r="BM28" s="238"/>
      <c r="BN28" s="47"/>
      <c r="BO28" s="47"/>
      <c r="BT28" s="238"/>
      <c r="BU28" s="238"/>
      <c r="BV28" s="238"/>
      <c r="BW28" s="238"/>
      <c r="BX28" s="238"/>
      <c r="BY28" s="238"/>
    </row>
    <row r="29" spans="2:77" ht="19.5" customHeight="1" thickBot="1">
      <c r="B29" s="250">
        <f t="shared" ca="1" si="0"/>
        <v>45317</v>
      </c>
      <c r="C29" s="573" t="str">
        <f t="shared" ca="1" si="1"/>
        <v/>
      </c>
      <c r="D29" s="317" t="str">
        <f ca="1">IFERROR(VLOOKUP(B29,Mond!$B$3:$C$59,2,0),"")</f>
        <v/>
      </c>
      <c r="E29" s="302" t="str">
        <f ca="1">IFERROR(IF(VLOOKUP(B29,Gießtage!$L$8:$L$98,1,0),1,0),"")</f>
        <v/>
      </c>
      <c r="F29" s="251">
        <f ca="1">IF(AND(OR(AND(B29&gt;=Ferien!$C$11,B29&lt;=Ferien!$D$11),AND(B29&gt;=Ferien!$C$12,B29&lt;=Ferien!$D$12),AND(B29&gt;=Ferien!$C$13,B29&lt;=Ferien!$D$13),AND(B29&gt;=Ferien!$C$14,B29&lt;=Ferien!$D$14),AND(B29&gt;=Ferien!$C$15,B29&lt;=Ferien!$D$15),AND(B29&gt;=Ferien!$C$16,B29&lt;=Ferien!$D$16),AND(B29&gt;=Ferien!$C$17,B29&lt;=Ferien!$D$17),AND(B29&gt;=Ferien!$C$18,B29&lt;=Ferien!$D$18),AND(B29&gt;=Ferien!$C$19,B29&lt;=Ferien!$D$19),AND(B29&gt;=Ferien!$C$20,B29&lt;=Ferien!$D$20),AND(B29&gt;=Ferien!$C$21,B29&lt;=Ferien!$D$21))),1,0)</f>
        <v>0</v>
      </c>
      <c r="G29" s="250">
        <f t="shared" ca="1" si="2"/>
        <v>45348</v>
      </c>
      <c r="H29" s="573" t="s">
        <v>258</v>
      </c>
      <c r="I29" s="317" t="str">
        <f ca="1">IFERROR(VLOOKUP(G29,Mond!$B$3:$C$59,2,0),"")</f>
        <v/>
      </c>
      <c r="J29" s="302" t="str">
        <f ca="1">IFERROR(IF(VLOOKUP(G29,Gießtage!$L$8:$L$98,1,0),1,0),"")</f>
        <v/>
      </c>
      <c r="K29" s="251">
        <f ca="1">IF(AND(OR(AND(G29&gt;=Ferien!$C$11,G29&lt;=Ferien!$D$11),AND(G29&gt;=Ferien!$C$12,G29&lt;=Ferien!$D$12),AND(G29&gt;=Ferien!$C$13,G29&lt;=Ferien!$D$13),AND(G29&gt;=Ferien!$C$14,G29&lt;=Ferien!$D$14),AND(G29&gt;=Ferien!$C$15,G29&lt;=Ferien!$D$15),AND(G29&gt;=Ferien!$C$16,G29&lt;=Ferien!$D$16),AND(G29&gt;=Ferien!$C$17,G29&lt;=Ferien!$D$17),AND(G29&gt;=Ferien!$C$18,G29&lt;=Ferien!$D$18),AND(G29&gt;=Ferien!$C$19,G29&lt;=Ferien!$D$19),AND(G29&gt;=Ferien!$C$20,G29&lt;=Ferien!$D$20),AND(G29&gt;=Ferien!$C$21,G29&lt;=Ferien!$D$21))),1,0)</f>
        <v>0</v>
      </c>
      <c r="L29" s="250">
        <f t="shared" ca="1" si="3"/>
        <v>45377</v>
      </c>
      <c r="M29" s="573" t="str">
        <f t="shared" ca="1" si="4"/>
        <v/>
      </c>
      <c r="N29" s="317" t="str">
        <f ca="1">IFERROR(VLOOKUP(L29,Mond!$B$3:$C$59,2,0),"")</f>
        <v/>
      </c>
      <c r="O29" s="302" t="str">
        <f ca="1">IFERROR(IF(VLOOKUP(L29,Gießtage!$L$8:$L$98,1,0),1,0),"")</f>
        <v/>
      </c>
      <c r="P29" s="251">
        <f ca="1">IF(AND(OR(AND(L29&gt;=Ferien!$C$11,L29&lt;=Ferien!$D$11),AND(L29&gt;=Ferien!$C$12,L29&lt;=Ferien!$D$12),AND(L29&gt;=Ferien!$C$13,L29&lt;=Ferien!$D$13),AND(L29&gt;=Ferien!$C$14,L29&lt;=Ferien!$D$14),AND(L29&gt;=Ferien!$C$15,L29&lt;=Ferien!$D$15),AND(L29&gt;=Ferien!$C$16,L29&lt;=Ferien!$D$16),AND(L29&gt;=Ferien!$C$17,L29&lt;=Ferien!$D$17),AND(L29&gt;=Ferien!$C$18,L29&lt;=Ferien!$D$18),AND(L29&gt;=Ferien!$C$19,L29&lt;=Ferien!$D$19),AND(L29&gt;=Ferien!$C$20,L29&lt;=Ferien!$D$20),AND(L29&gt;=Ferien!$C$21,L29&lt;=Ferien!$D$21))),1,0)</f>
        <v>1</v>
      </c>
      <c r="Q29" s="250">
        <f t="shared" ca="1" si="5"/>
        <v>45408</v>
      </c>
      <c r="R29" s="573" t="str">
        <f t="shared" ca="1" si="6"/>
        <v/>
      </c>
      <c r="S29" s="317" t="str">
        <f ca="1">IFERROR(VLOOKUP(Q29,Mond!$B$3:$C$59,2,0),"")</f>
        <v/>
      </c>
      <c r="T29" s="302" t="str">
        <f ca="1">IFERROR(IF(VLOOKUP(Q29,Gießtage!$L$8:$L$98,1,0),1,0),"")</f>
        <v/>
      </c>
      <c r="U29" s="251">
        <f ca="1">IF(AND(OR(AND(Q29&gt;=Ferien!$C$11,Q29&lt;=Ferien!$D$11),AND(Q29&gt;=Ferien!$C$12,Q29&lt;=Ferien!$D$12),AND(Q29&gt;=Ferien!$C$13,Q29&lt;=Ferien!$D$13),AND(Q29&gt;=Ferien!$C$14,Q29&lt;=Ferien!$D$14),AND(Q29&gt;=Ferien!$C$15,Q29&lt;=Ferien!$D$15),AND(Q29&gt;=Ferien!$C$16,Q29&lt;=Ferien!$D$16),AND(Q29&gt;=Ferien!$C$17,Q29&lt;=Ferien!$D$17),AND(Q29&gt;=Ferien!$C$18,Q29&lt;=Ferien!$D$18),AND(Q29&gt;=Ferien!$C$19,Q29&lt;=Ferien!$D$19),AND(Q29&gt;=Ferien!$C$20,Q29&lt;=Ferien!$D$20),AND(Q29&gt;=Ferien!$C$21,Q29&lt;=Ferien!$D$21))),1,0)</f>
        <v>0</v>
      </c>
      <c r="V29" s="250">
        <f t="shared" ca="1" si="7"/>
        <v>45438</v>
      </c>
      <c r="W29" s="573" t="str">
        <f t="shared" ca="1" si="8"/>
        <v/>
      </c>
      <c r="X29" s="317" t="str">
        <f ca="1">IFERROR(VLOOKUP(V29,Mond!$B$3:$C$59,2,0),"")</f>
        <v/>
      </c>
      <c r="Y29" s="302" t="str">
        <f ca="1">IFERROR(IF(VLOOKUP(V29,Gießtage!$L$8:$L$98,1,0),1,0),"")</f>
        <v/>
      </c>
      <c r="Z29" s="251">
        <f ca="1">IF(AND(OR(AND(V29&gt;=Ferien!$C$11,V29&lt;=Ferien!$D$11),AND(V29&gt;=Ferien!$C$12,V29&lt;=Ferien!$D$12),AND(V29&gt;=Ferien!$C$13,V29&lt;=Ferien!$D$13),AND(V29&gt;=Ferien!$C$14,V29&lt;=Ferien!$D$14),AND(V29&gt;=Ferien!$C$15,V29&lt;=Ferien!$D$15),AND(V29&gt;=Ferien!$C$16,V29&lt;=Ferien!$D$16),AND(V29&gt;=Ferien!$C$17,V29&lt;=Ferien!$D$17),AND(V29&gt;=Ferien!$C$18,V29&lt;=Ferien!$D$18),AND(V29&gt;=Ferien!$C$19,V29&lt;=Ferien!$D$19),AND(V29&gt;=Ferien!$C$20,V29&lt;=Ferien!$D$20),AND(V29&gt;=Ferien!$C$21,V29&lt;=Ferien!$D$21))),1,0)</f>
        <v>1</v>
      </c>
      <c r="AA29" s="250">
        <f t="shared" ca="1" si="9"/>
        <v>45469</v>
      </c>
      <c r="AB29" s="573" t="str">
        <f t="shared" ca="1" si="10"/>
        <v>{</v>
      </c>
      <c r="AC29" s="317" t="str">
        <f ca="1">IFERROR(VLOOKUP(AA29,Mond!$B$3:$C$59,2,0),"")</f>
        <v/>
      </c>
      <c r="AD29" s="302">
        <f ca="1">IFERROR(IF(VLOOKUP(AA29,Gießtage!$L$8:$L$98,1,0),1,0),"")</f>
        <v>1</v>
      </c>
      <c r="AE29" s="251">
        <f ca="1">IF(AND(OR(AND(AA29&gt;=Ferien!$C$11,AA29&lt;=Ferien!$D$11),AND(AA29&gt;=Ferien!$C$12,AA29&lt;=Ferien!$D$12),AND(AA29&gt;=Ferien!$C$13,AA29&lt;=Ferien!$D$13),AND(AA29&gt;=Ferien!$C$14,AA29&lt;=Ferien!$D$14),AND(AA29&gt;=Ferien!$C$15,AA29&lt;=Ferien!$D$15),AND(AA29&gt;=Ferien!$C$16,AA29&lt;=Ferien!$D$16),AND(AA29&gt;=Ferien!$C$17,AA29&lt;=Ferien!$D$17),AND(AA29&gt;=Ferien!$C$18,AA29&lt;=Ferien!$D$18),AND(AA29&gt;=Ferien!$C$19,AA29&lt;=Ferien!$D$19),AND(AA29&gt;=Ferien!$C$20,AA29&lt;=Ferien!$D$20),AND(AA29&gt;=Ferien!$C$21,AA29&lt;=Ferien!$D$21))),1,0)</f>
        <v>0</v>
      </c>
      <c r="AF29" s="250">
        <f t="shared" ca="1" si="11"/>
        <v>45499</v>
      </c>
      <c r="AG29" s="573" t="str">
        <f t="shared" ca="1" si="12"/>
        <v/>
      </c>
      <c r="AH29" s="317" t="str">
        <f ca="1">IFERROR(VLOOKUP(AF29,Mond!$B$3:$C$59,2,0),"")</f>
        <v/>
      </c>
      <c r="AI29" s="302" t="str">
        <f ca="1">IFERROR(IF(VLOOKUP(AF29,Gießtage!$L$8:$L$98,1,0),1,0),"")</f>
        <v/>
      </c>
      <c r="AJ29" s="251">
        <f ca="1">IF(AND(OR(AND(AF29&gt;=Ferien!$C$11,AF29&lt;=Ferien!$D$11),AND(AF29&gt;=Ferien!$C$12,AF29&lt;=Ferien!$D$12),AND(AF29&gt;=Ferien!$C$13,AF29&lt;=Ferien!$D$13),AND(AF29&gt;=Ferien!$C$14,AF29&lt;=Ferien!$D$14),AND(AF29&gt;=Ferien!$C$15,AF29&lt;=Ferien!$D$15),AND(AF29&gt;=Ferien!$C$16,AF29&lt;=Ferien!$D$16),AND(AF29&gt;=Ferien!$C$17,AF29&lt;=Ferien!$D$17),AND(AF29&gt;=Ferien!$C$18,AF29&lt;=Ferien!$D$18),AND(AF29&gt;=Ferien!$C$19,AF29&lt;=Ferien!$D$19),AND(AF29&gt;=Ferien!$C$20,AF29&lt;=Ferien!$D$20),AND(AF29&gt;=Ferien!$C$21,AF29&lt;=Ferien!$D$21))),1,0)</f>
        <v>1</v>
      </c>
      <c r="AK29" s="250">
        <f t="shared" ca="1" si="13"/>
        <v>45530</v>
      </c>
      <c r="AL29" s="573" t="str">
        <f t="shared" ca="1" si="14"/>
        <v/>
      </c>
      <c r="AM29" s="317" t="str">
        <f ca="1">IFERROR(VLOOKUP(AK29,Mond!$B$3:$C$59,2,0),"")</f>
        <v>T</v>
      </c>
      <c r="AN29" s="302" t="str">
        <f ca="1">IFERROR(IF(VLOOKUP(AK29,Gießtage!$L$8:$L$98,1,0),1,0),"")</f>
        <v/>
      </c>
      <c r="AO29" s="251">
        <f ca="1">IF(AND(OR(AND(AK29&gt;=Ferien!$C$11,AK29&lt;=Ferien!$D$11),AND(AK29&gt;=Ferien!$C$12,AK29&lt;=Ferien!$D$12),AND(AK29&gt;=Ferien!$C$13,AK29&lt;=Ferien!$D$13),AND(AK29&gt;=Ferien!$C$14,AK29&lt;=Ferien!$D$14),AND(AK29&gt;=Ferien!$C$15,AK29&lt;=Ferien!$D$15),AND(AK29&gt;=Ferien!$C$16,AK29&lt;=Ferien!$D$16),AND(AK29&gt;=Ferien!$C$17,AK29&lt;=Ferien!$D$17),AND(AK29&gt;=Ferien!$C$18,AK29&lt;=Ferien!$D$18),AND(AK29&gt;=Ferien!$C$19,AK29&lt;=Ferien!$D$19),AND(AK29&gt;=Ferien!$C$20,AK29&lt;=Ferien!$D$20),AND(AK29&gt;=Ferien!$C$21,AK29&lt;=Ferien!$D$21))),1,0)</f>
        <v>1</v>
      </c>
      <c r="AP29" s="250">
        <f t="shared" ca="1" si="15"/>
        <v>45561</v>
      </c>
      <c r="AQ29" s="573" t="str">
        <f t="shared" ca="1" si="16"/>
        <v>{</v>
      </c>
      <c r="AR29" s="317" t="str">
        <f ca="1">IFERROR(VLOOKUP(AP29,Mond!$B$3:$C$59,2,0),"")</f>
        <v/>
      </c>
      <c r="AS29" s="302">
        <f ca="1">IFERROR(IF(VLOOKUP(AP29,Gießtage!$L$8:$L$98,1,0),1,0),"")</f>
        <v>1</v>
      </c>
      <c r="AT29" s="251">
        <f ca="1">IF(AND(OR(AND(AP29&gt;=Ferien!$C$11,AP29&lt;=Ferien!$D$11),AND(AP29&gt;=Ferien!$C$12,AP29&lt;=Ferien!$D$12),AND(AP29&gt;=Ferien!$C$13,AP29&lt;=Ferien!$D$13),AND(AP29&gt;=Ferien!$C$14,AP29&lt;=Ferien!$D$14),AND(AP29&gt;=Ferien!$C$15,AP29&lt;=Ferien!$D$15),AND(AP29&gt;=Ferien!$C$16,AP29&lt;=Ferien!$D$16),AND(AP29&gt;=Ferien!$C$17,AP29&lt;=Ferien!$D$17),AND(AP29&gt;=Ferien!$C$18,AP29&lt;=Ferien!$D$18),AND(AP29&gt;=Ferien!$C$19,AP29&lt;=Ferien!$D$19),AND(AP29&gt;=Ferien!$C$20,AP29&lt;=Ferien!$D$20),AND(AP29&gt;=Ferien!$C$21,AP29&lt;=Ferien!$D$21))),1,0)</f>
        <v>0</v>
      </c>
      <c r="AU29" s="250">
        <f t="shared" ca="1" si="17"/>
        <v>45591</v>
      </c>
      <c r="AV29" s="573" t="str">
        <f t="shared" ca="1" si="18"/>
        <v/>
      </c>
      <c r="AW29" s="317" t="str">
        <f ca="1">IFERROR(VLOOKUP(AU29,Mond!$B$3:$C$59,2,0),"")</f>
        <v/>
      </c>
      <c r="AX29" s="302" t="str">
        <f ca="1">IFERROR(IF(VLOOKUP(AU29,Gießtage!$L$8:$L$98,1,0),1,0),"")</f>
        <v/>
      </c>
      <c r="AY29" s="251">
        <f ca="1">IF(AND(OR(AND(AU29&gt;=Ferien!$C$11,AU29&lt;=Ferien!$D$11),AND(AU29&gt;=Ferien!$C$12,AU29&lt;=Ferien!$D$12),AND(AU29&gt;=Ferien!$C$13,AU29&lt;=Ferien!$D$13),AND(AU29&gt;=Ferien!$C$14,AU29&lt;=Ferien!$D$14),AND(AU29&gt;=Ferien!$C$15,AU29&lt;=Ferien!$D$15),AND(AU29&gt;=Ferien!$C$16,AU29&lt;=Ferien!$D$16),AND(AU29&gt;=Ferien!$C$17,AU29&lt;=Ferien!$D$17),AND(AU29&gt;=Ferien!$C$18,AU29&lt;=Ferien!$D$18),AND(AU29&gt;=Ferien!$C$19,AU29&lt;=Ferien!$D$19),AND(AU29&gt;=Ferien!$C$20,AU29&lt;=Ferien!$D$20),AND(AU29&gt;=Ferien!$C$21,AU29&lt;=Ferien!$D$21))),1,0)</f>
        <v>0</v>
      </c>
      <c r="AZ29" s="250">
        <f t="shared" ca="1" si="19"/>
        <v>45622</v>
      </c>
      <c r="BA29" s="573" t="str">
        <f t="shared" ca="1" si="20"/>
        <v/>
      </c>
      <c r="BB29" s="317" t="str">
        <f ca="1">IFERROR(VLOOKUP(AZ29,Mond!$B$3:$C$59,2,0),"")</f>
        <v/>
      </c>
      <c r="BC29" s="302" t="str">
        <f ca="1">IFERROR(IF(VLOOKUP(AZ29,Gießtage!$L$8:$L$98,1,0),1,0),"")</f>
        <v/>
      </c>
      <c r="BD29" s="251">
        <f ca="1">IF(AND(OR(AND(AZ29&gt;=Ferien!$C$11,AZ29&lt;=Ferien!$D$11),AND(AZ29&gt;=Ferien!$C$12,AZ29&lt;=Ferien!$D$12),AND(AZ29&gt;=Ferien!$C$13,AZ29&lt;=Ferien!$D$13),AND(AZ29&gt;=Ferien!$C$14,AZ29&lt;=Ferien!$D$14),AND(AZ29&gt;=Ferien!$C$15,AZ29&lt;=Ferien!$D$15),AND(AZ29&gt;=Ferien!$C$16,AZ29&lt;=Ferien!$D$16),AND(AZ29&gt;=Ferien!$C$17,AZ29&lt;=Ferien!$D$17),AND(AZ29&gt;=Ferien!$C$18,AZ29&lt;=Ferien!$D$18),AND(AZ29&gt;=Ferien!$C$19,AZ29&lt;=Ferien!$D$19),AND(AZ29&gt;=Ferien!$C$20,AZ29&lt;=Ferien!$D$20),AND(AZ29&gt;=Ferien!$C$21,AZ29&lt;=Ferien!$D$21))),1,0)</f>
        <v>0</v>
      </c>
      <c r="BE29" s="250">
        <f t="shared" ca="1" si="21"/>
        <v>45652</v>
      </c>
      <c r="BF29" s="573" t="str">
        <f t="shared" ca="1" si="22"/>
        <v/>
      </c>
      <c r="BG29" s="317" t="str">
        <f ca="1">IFERROR(VLOOKUP(BE29,Mond!$B$3:$C$59,2,0),"")</f>
        <v/>
      </c>
      <c r="BH29" s="302" t="str">
        <f ca="1">IFERROR(IF(VLOOKUP(BE29,Gießtage!$L$8:$L$98,1,0),1,0),"")</f>
        <v/>
      </c>
      <c r="BI29" s="252">
        <f ca="1">IF(AND(OR(AND(BE29&gt;=Ferien!$C$11,BE29&lt;=Ferien!$D$11),AND(BE29&gt;=Ferien!$C$12,BE29&lt;=Ferien!$D$12),AND(BE29&gt;=Ferien!$C$13,BE29&lt;=Ferien!$D$13),AND(BE29&gt;=Ferien!$C$14,BE29&lt;=Ferien!$D$14),AND(BE29&gt;=Ferien!$C$15,BE29&lt;=Ferien!$D$15),AND(BE29&gt;=Ferien!$C$16,BE29&lt;=Ferien!$D$16),AND(BE29&gt;=Ferien!$C$17,BE29&lt;=Ferien!$D$17),AND(BE29&gt;=Ferien!$C$18,BE29&lt;=Ferien!$D$18),AND(BE29&gt;=Ferien!$C$19,BE29&lt;=Ferien!$D$19),AND(BE29&gt;=Ferien!$C$20,BE29&lt;=Ferien!$D$20),AND(BE29&gt;=Ferien!$C$21,BE29&lt;=Ferien!$D$21))),1,0)</f>
        <v>1</v>
      </c>
      <c r="BJ29" s="823" t="s">
        <v>159</v>
      </c>
      <c r="BK29" s="824"/>
      <c r="BL29" s="254" t="s">
        <v>160</v>
      </c>
      <c r="BM29" s="238"/>
      <c r="BT29" s="238"/>
      <c r="BU29" s="238"/>
      <c r="BV29" s="238"/>
      <c r="BW29" s="238"/>
      <c r="BX29" s="238"/>
      <c r="BY29" s="238"/>
    </row>
    <row r="30" spans="2:77" ht="19.5" customHeight="1" thickBot="1">
      <c r="B30" s="250">
        <f t="shared" ca="1" si="0"/>
        <v>45318</v>
      </c>
      <c r="C30" s="573" t="str">
        <f t="shared" ca="1" si="1"/>
        <v/>
      </c>
      <c r="D30" s="317" t="str">
        <f ca="1">IFERROR(VLOOKUP(B30,Mond!$B$3:$C$59,2,0),"")</f>
        <v/>
      </c>
      <c r="E30" s="302" t="str">
        <f ca="1">IFERROR(IF(VLOOKUP(B30,Gießtage!$L$8:$L$98,1,0),1,0),"")</f>
        <v/>
      </c>
      <c r="F30" s="251">
        <f ca="1">IF(AND(OR(AND(B30&gt;=Ferien!$C$11,B30&lt;=Ferien!$D$11),AND(B30&gt;=Ferien!$C$12,B30&lt;=Ferien!$D$12),AND(B30&gt;=Ferien!$C$13,B30&lt;=Ferien!$D$13),AND(B30&gt;=Ferien!$C$14,B30&lt;=Ferien!$D$14),AND(B30&gt;=Ferien!$C$15,B30&lt;=Ferien!$D$15),AND(B30&gt;=Ferien!$C$16,B30&lt;=Ferien!$D$16),AND(B30&gt;=Ferien!$C$17,B30&lt;=Ferien!$D$17),AND(B30&gt;=Ferien!$C$18,B30&lt;=Ferien!$D$18),AND(B30&gt;=Ferien!$C$19,B30&lt;=Ferien!$D$19),AND(B30&gt;=Ferien!$C$20,B30&lt;=Ferien!$D$20),AND(B30&gt;=Ferien!$C$21,B30&lt;=Ferien!$D$21))),1,0)</f>
        <v>0</v>
      </c>
      <c r="G30" s="250">
        <f t="shared" ca="1" si="2"/>
        <v>45349</v>
      </c>
      <c r="H30" s="573" t="s">
        <v>258</v>
      </c>
      <c r="I30" s="317" t="str">
        <f ca="1">IFERROR(VLOOKUP(G30,Mond!$B$3:$C$59,2,0),"")</f>
        <v/>
      </c>
      <c r="J30" s="302" t="str">
        <f ca="1">IFERROR(IF(VLOOKUP(G30,Gießtage!$L$8:$L$98,1,0),1,0),"")</f>
        <v/>
      </c>
      <c r="K30" s="251">
        <f ca="1">IF(AND(OR(AND(G30&gt;=Ferien!$C$11,G30&lt;=Ferien!$D$11),AND(G30&gt;=Ferien!$C$12,G30&lt;=Ferien!$D$12),AND(G30&gt;=Ferien!$C$13,G30&lt;=Ferien!$D$13),AND(G30&gt;=Ferien!$C$14,G30&lt;=Ferien!$D$14),AND(G30&gt;=Ferien!$C$15,G30&lt;=Ferien!$D$15),AND(G30&gt;=Ferien!$C$16,G30&lt;=Ferien!$D$16),AND(G30&gt;=Ferien!$C$17,G30&lt;=Ferien!$D$17),AND(G30&gt;=Ferien!$C$18,G30&lt;=Ferien!$D$18),AND(G30&gt;=Ferien!$C$19,G30&lt;=Ferien!$D$19),AND(G30&gt;=Ferien!$C$20,G30&lt;=Ferien!$D$20),AND(G30&gt;=Ferien!$C$21,G30&lt;=Ferien!$D$21))),1,0)</f>
        <v>0</v>
      </c>
      <c r="L30" s="250">
        <f t="shared" ca="1" si="3"/>
        <v>45378</v>
      </c>
      <c r="M30" s="573" t="str">
        <f t="shared" ca="1" si="4"/>
        <v>{</v>
      </c>
      <c r="N30" s="317" t="str">
        <f ca="1">IFERROR(VLOOKUP(L30,Mond!$B$3:$C$59,2,0),"")</f>
        <v/>
      </c>
      <c r="O30" s="302">
        <f ca="1">IFERROR(IF(VLOOKUP(L30,Gießtage!$L$8:$L$98,1,0),1,0),"")</f>
        <v>1</v>
      </c>
      <c r="P30" s="251">
        <f ca="1">IF(AND(OR(AND(L30&gt;=Ferien!$C$11,L30&lt;=Ferien!$D$11),AND(L30&gt;=Ferien!$C$12,L30&lt;=Ferien!$D$12),AND(L30&gt;=Ferien!$C$13,L30&lt;=Ferien!$D$13),AND(L30&gt;=Ferien!$C$14,L30&lt;=Ferien!$D$14),AND(L30&gt;=Ferien!$C$15,L30&lt;=Ferien!$D$15),AND(L30&gt;=Ferien!$C$16,L30&lt;=Ferien!$D$16),AND(L30&gt;=Ferien!$C$17,L30&lt;=Ferien!$D$17),AND(L30&gt;=Ferien!$C$18,L30&lt;=Ferien!$D$18),AND(L30&gt;=Ferien!$C$19,L30&lt;=Ferien!$D$19),AND(L30&gt;=Ferien!$C$20,L30&lt;=Ferien!$D$20),AND(L30&gt;=Ferien!$C$21,L30&lt;=Ferien!$D$21))),1,0)</f>
        <v>1</v>
      </c>
      <c r="Q30" s="250">
        <f t="shared" ca="1" si="5"/>
        <v>45409</v>
      </c>
      <c r="R30" s="573" t="str">
        <f t="shared" ca="1" si="6"/>
        <v/>
      </c>
      <c r="S30" s="317" t="str">
        <f ca="1">IFERROR(VLOOKUP(Q30,Mond!$B$3:$C$59,2,0),"")</f>
        <v/>
      </c>
      <c r="T30" s="302" t="str">
        <f ca="1">IFERROR(IF(VLOOKUP(Q30,Gießtage!$L$8:$L$98,1,0),1,0),"")</f>
        <v/>
      </c>
      <c r="U30" s="251">
        <f ca="1">IF(AND(OR(AND(Q30&gt;=Ferien!$C$11,Q30&lt;=Ferien!$D$11),AND(Q30&gt;=Ferien!$C$12,Q30&lt;=Ferien!$D$12),AND(Q30&gt;=Ferien!$C$13,Q30&lt;=Ferien!$D$13),AND(Q30&gt;=Ferien!$C$14,Q30&lt;=Ferien!$D$14),AND(Q30&gt;=Ferien!$C$15,Q30&lt;=Ferien!$D$15),AND(Q30&gt;=Ferien!$C$16,Q30&lt;=Ferien!$D$16),AND(Q30&gt;=Ferien!$C$17,Q30&lt;=Ferien!$D$17),AND(Q30&gt;=Ferien!$C$18,Q30&lt;=Ferien!$D$18),AND(Q30&gt;=Ferien!$C$19,Q30&lt;=Ferien!$D$19),AND(Q30&gt;=Ferien!$C$20,Q30&lt;=Ferien!$D$20),AND(Q30&gt;=Ferien!$C$21,Q30&lt;=Ferien!$D$21))),1,0)</f>
        <v>0</v>
      </c>
      <c r="V30" s="250">
        <f t="shared" ca="1" si="7"/>
        <v>45439</v>
      </c>
      <c r="W30" s="573" t="str">
        <f t="shared" ca="1" si="8"/>
        <v/>
      </c>
      <c r="X30" s="317" t="str">
        <f ca="1">IFERROR(VLOOKUP(V30,Mond!$B$3:$C$59,2,0),"")</f>
        <v/>
      </c>
      <c r="Y30" s="302" t="str">
        <f ca="1">IFERROR(IF(VLOOKUP(V30,Gießtage!$L$8:$L$98,1,0),1,0),"")</f>
        <v/>
      </c>
      <c r="Z30" s="251">
        <f ca="1">IF(AND(OR(AND(V30&gt;=Ferien!$C$11,V30&lt;=Ferien!$D$11),AND(V30&gt;=Ferien!$C$12,V30&lt;=Ferien!$D$12),AND(V30&gt;=Ferien!$C$13,V30&lt;=Ferien!$D$13),AND(V30&gt;=Ferien!$C$14,V30&lt;=Ferien!$D$14),AND(V30&gt;=Ferien!$C$15,V30&lt;=Ferien!$D$15),AND(V30&gt;=Ferien!$C$16,V30&lt;=Ferien!$D$16),AND(V30&gt;=Ferien!$C$17,V30&lt;=Ferien!$D$17),AND(V30&gt;=Ferien!$C$18,V30&lt;=Ferien!$D$18),AND(V30&gt;=Ferien!$C$19,V30&lt;=Ferien!$D$19),AND(V30&gt;=Ferien!$C$20,V30&lt;=Ferien!$D$20),AND(V30&gt;=Ferien!$C$21,V30&lt;=Ferien!$D$21))),1,0)</f>
        <v>1</v>
      </c>
      <c r="AA30" s="250">
        <f t="shared" ca="1" si="9"/>
        <v>45470</v>
      </c>
      <c r="AB30" s="573" t="str">
        <f t="shared" ca="1" si="10"/>
        <v>{</v>
      </c>
      <c r="AC30" s="317" t="str">
        <f ca="1">IFERROR(VLOOKUP(AA30,Mond!$B$3:$C$59,2,0),"")</f>
        <v/>
      </c>
      <c r="AD30" s="302">
        <f ca="1">IFERROR(IF(VLOOKUP(AA30,Gießtage!$L$8:$L$98,1,0),1,0),"")</f>
        <v>1</v>
      </c>
      <c r="AE30" s="251">
        <f ca="1">IF(AND(OR(AND(AA30&gt;=Ferien!$C$11,AA30&lt;=Ferien!$D$11),AND(AA30&gt;=Ferien!$C$12,AA30&lt;=Ferien!$D$12),AND(AA30&gt;=Ferien!$C$13,AA30&lt;=Ferien!$D$13),AND(AA30&gt;=Ferien!$C$14,AA30&lt;=Ferien!$D$14),AND(AA30&gt;=Ferien!$C$15,AA30&lt;=Ferien!$D$15),AND(AA30&gt;=Ferien!$C$16,AA30&lt;=Ferien!$D$16),AND(AA30&gt;=Ferien!$C$17,AA30&lt;=Ferien!$D$17),AND(AA30&gt;=Ferien!$C$18,AA30&lt;=Ferien!$D$18),AND(AA30&gt;=Ferien!$C$19,AA30&lt;=Ferien!$D$19),AND(AA30&gt;=Ferien!$C$20,AA30&lt;=Ferien!$D$20),AND(AA30&gt;=Ferien!$C$21,AA30&lt;=Ferien!$D$21))),1,0)</f>
        <v>0</v>
      </c>
      <c r="AF30" s="250">
        <f t="shared" ca="1" si="11"/>
        <v>45500</v>
      </c>
      <c r="AG30" s="573" t="str">
        <f t="shared" ca="1" si="12"/>
        <v/>
      </c>
      <c r="AH30" s="317" t="str">
        <f ca="1">IFERROR(VLOOKUP(AF30,Mond!$B$3:$C$59,2,0),"")</f>
        <v/>
      </c>
      <c r="AI30" s="302" t="str">
        <f ca="1">IFERROR(IF(VLOOKUP(AF30,Gießtage!$L$8:$L$98,1,0),1,0),"")</f>
        <v/>
      </c>
      <c r="AJ30" s="251">
        <f ca="1">IF(AND(OR(AND(AF30&gt;=Ferien!$C$11,AF30&lt;=Ferien!$D$11),AND(AF30&gt;=Ferien!$C$12,AF30&lt;=Ferien!$D$12),AND(AF30&gt;=Ferien!$C$13,AF30&lt;=Ferien!$D$13),AND(AF30&gt;=Ferien!$C$14,AF30&lt;=Ferien!$D$14),AND(AF30&gt;=Ferien!$C$15,AF30&lt;=Ferien!$D$15),AND(AF30&gt;=Ferien!$C$16,AF30&lt;=Ferien!$D$16),AND(AF30&gt;=Ferien!$C$17,AF30&lt;=Ferien!$D$17),AND(AF30&gt;=Ferien!$C$18,AF30&lt;=Ferien!$D$18),AND(AF30&gt;=Ferien!$C$19,AF30&lt;=Ferien!$D$19),AND(AF30&gt;=Ferien!$C$20,AF30&lt;=Ferien!$D$20),AND(AF30&gt;=Ferien!$C$21,AF30&lt;=Ferien!$D$21))),1,0)</f>
        <v>1</v>
      </c>
      <c r="AK30" s="250">
        <f t="shared" ca="1" si="13"/>
        <v>45531</v>
      </c>
      <c r="AL30" s="573" t="str">
        <f t="shared" ca="1" si="14"/>
        <v/>
      </c>
      <c r="AM30" s="317" t="str">
        <f ca="1">IFERROR(VLOOKUP(AK30,Mond!$B$3:$C$59,2,0),"")</f>
        <v/>
      </c>
      <c r="AN30" s="302" t="str">
        <f ca="1">IFERROR(IF(VLOOKUP(AK30,Gießtage!$L$8:$L$98,1,0),1,0),"")</f>
        <v/>
      </c>
      <c r="AO30" s="251">
        <f ca="1">IF(AND(OR(AND(AK30&gt;=Ferien!$C$11,AK30&lt;=Ferien!$D$11),AND(AK30&gt;=Ferien!$C$12,AK30&lt;=Ferien!$D$12),AND(AK30&gt;=Ferien!$C$13,AK30&lt;=Ferien!$D$13),AND(AK30&gt;=Ferien!$C$14,AK30&lt;=Ferien!$D$14),AND(AK30&gt;=Ferien!$C$15,AK30&lt;=Ferien!$D$15),AND(AK30&gt;=Ferien!$C$16,AK30&lt;=Ferien!$D$16),AND(AK30&gt;=Ferien!$C$17,AK30&lt;=Ferien!$D$17),AND(AK30&gt;=Ferien!$C$18,AK30&lt;=Ferien!$D$18),AND(AK30&gt;=Ferien!$C$19,AK30&lt;=Ferien!$D$19),AND(AK30&gt;=Ferien!$C$20,AK30&lt;=Ferien!$D$20),AND(AK30&gt;=Ferien!$C$21,AK30&lt;=Ferien!$D$21))),1,0)</f>
        <v>1</v>
      </c>
      <c r="AP30" s="250">
        <f t="shared" ca="1" si="15"/>
        <v>45562</v>
      </c>
      <c r="AQ30" s="573" t="str">
        <f t="shared" ca="1" si="16"/>
        <v/>
      </c>
      <c r="AR30" s="317" t="str">
        <f ca="1">IFERROR(VLOOKUP(AP30,Mond!$B$3:$C$59,2,0),"")</f>
        <v/>
      </c>
      <c r="AS30" s="302" t="str">
        <f ca="1">IFERROR(IF(VLOOKUP(AP30,Gießtage!$L$8:$L$98,1,0),1,0),"")</f>
        <v/>
      </c>
      <c r="AT30" s="251">
        <f ca="1">IF(AND(OR(AND(AP30&gt;=Ferien!$C$11,AP30&lt;=Ferien!$D$11),AND(AP30&gt;=Ferien!$C$12,AP30&lt;=Ferien!$D$12),AND(AP30&gt;=Ferien!$C$13,AP30&lt;=Ferien!$D$13),AND(AP30&gt;=Ferien!$C$14,AP30&lt;=Ferien!$D$14),AND(AP30&gt;=Ferien!$C$15,AP30&lt;=Ferien!$D$15),AND(AP30&gt;=Ferien!$C$16,AP30&lt;=Ferien!$D$16),AND(AP30&gt;=Ferien!$C$17,AP30&lt;=Ferien!$D$17),AND(AP30&gt;=Ferien!$C$18,AP30&lt;=Ferien!$D$18),AND(AP30&gt;=Ferien!$C$19,AP30&lt;=Ferien!$D$19),AND(AP30&gt;=Ferien!$C$20,AP30&lt;=Ferien!$D$20),AND(AP30&gt;=Ferien!$C$21,AP30&lt;=Ferien!$D$21))),1,0)</f>
        <v>0</v>
      </c>
      <c r="AU30" s="250">
        <f t="shared" ca="1" si="17"/>
        <v>45592</v>
      </c>
      <c r="AV30" s="573" t="str">
        <f t="shared" ca="1" si="18"/>
        <v/>
      </c>
      <c r="AW30" s="317" t="str">
        <f ca="1">IFERROR(VLOOKUP(AU30,Mond!$B$3:$C$59,2,0),"")</f>
        <v/>
      </c>
      <c r="AX30" s="302" t="str">
        <f ca="1">IFERROR(IF(VLOOKUP(AU30,Gießtage!$L$8:$L$98,1,0),1,0),"")</f>
        <v/>
      </c>
      <c r="AY30" s="251">
        <f ca="1">IF(AND(OR(AND(AU30&gt;=Ferien!$C$11,AU30&lt;=Ferien!$D$11),AND(AU30&gt;=Ferien!$C$12,AU30&lt;=Ferien!$D$12),AND(AU30&gt;=Ferien!$C$13,AU30&lt;=Ferien!$D$13),AND(AU30&gt;=Ferien!$C$14,AU30&lt;=Ferien!$D$14),AND(AU30&gt;=Ferien!$C$15,AU30&lt;=Ferien!$D$15),AND(AU30&gt;=Ferien!$C$16,AU30&lt;=Ferien!$D$16),AND(AU30&gt;=Ferien!$C$17,AU30&lt;=Ferien!$D$17),AND(AU30&gt;=Ferien!$C$18,AU30&lt;=Ferien!$D$18),AND(AU30&gt;=Ferien!$C$19,AU30&lt;=Ferien!$D$19),AND(AU30&gt;=Ferien!$C$20,AU30&lt;=Ferien!$D$20),AND(AU30&gt;=Ferien!$C$21,AU30&lt;=Ferien!$D$21))),1,0)</f>
        <v>0</v>
      </c>
      <c r="AZ30" s="250">
        <f t="shared" ca="1" si="19"/>
        <v>45623</v>
      </c>
      <c r="BA30" s="573" t="str">
        <f t="shared" ca="1" si="20"/>
        <v/>
      </c>
      <c r="BB30" s="317" t="str">
        <f ca="1">IFERROR(VLOOKUP(AZ30,Mond!$B$3:$C$59,2,0),"")</f>
        <v/>
      </c>
      <c r="BC30" s="302" t="str">
        <f ca="1">IFERROR(IF(VLOOKUP(AZ30,Gießtage!$L$8:$L$98,1,0),1,0),"")</f>
        <v/>
      </c>
      <c r="BD30" s="251">
        <f ca="1">IF(AND(OR(AND(AZ30&gt;=Ferien!$C$11,AZ30&lt;=Ferien!$D$11),AND(AZ30&gt;=Ferien!$C$12,AZ30&lt;=Ferien!$D$12),AND(AZ30&gt;=Ferien!$C$13,AZ30&lt;=Ferien!$D$13),AND(AZ30&gt;=Ferien!$C$14,AZ30&lt;=Ferien!$D$14),AND(AZ30&gt;=Ferien!$C$15,AZ30&lt;=Ferien!$D$15),AND(AZ30&gt;=Ferien!$C$16,AZ30&lt;=Ferien!$D$16),AND(AZ30&gt;=Ferien!$C$17,AZ30&lt;=Ferien!$D$17),AND(AZ30&gt;=Ferien!$C$18,AZ30&lt;=Ferien!$D$18),AND(AZ30&gt;=Ferien!$C$19,AZ30&lt;=Ferien!$D$19),AND(AZ30&gt;=Ferien!$C$20,AZ30&lt;=Ferien!$D$20),AND(AZ30&gt;=Ferien!$C$21,AZ30&lt;=Ferien!$D$21))),1,0)</f>
        <v>0</v>
      </c>
      <c r="BE30" s="250">
        <f t="shared" ca="1" si="21"/>
        <v>45653</v>
      </c>
      <c r="BF30" s="573" t="str">
        <f t="shared" ca="1" si="22"/>
        <v/>
      </c>
      <c r="BG30" s="317" t="str">
        <f ca="1">IFERROR(VLOOKUP(BE30,Mond!$B$3:$C$59,2,0),"")</f>
        <v/>
      </c>
      <c r="BH30" s="302" t="str">
        <f ca="1">IFERROR(IF(VLOOKUP(BE30,Gießtage!$L$8:$L$98,1,0),1,0),"")</f>
        <v/>
      </c>
      <c r="BI30" s="252">
        <f ca="1">IF(AND(OR(AND(BE30&gt;=Ferien!$C$11,BE30&lt;=Ferien!$D$11),AND(BE30&gt;=Ferien!$C$12,BE30&lt;=Ferien!$D$12),AND(BE30&gt;=Ferien!$C$13,BE30&lt;=Ferien!$D$13),AND(BE30&gt;=Ferien!$C$14,BE30&lt;=Ferien!$D$14),AND(BE30&gt;=Ferien!$C$15,BE30&lt;=Ferien!$D$15),AND(BE30&gt;=Ferien!$C$16,BE30&lt;=Ferien!$D$16),AND(BE30&gt;=Ferien!$C$17,BE30&lt;=Ferien!$D$17),AND(BE30&gt;=Ferien!$C$18,BE30&lt;=Ferien!$D$18),AND(BE30&gt;=Ferien!$C$19,BE30&lt;=Ferien!$D$19),AND(BE30&gt;=Ferien!$C$20,BE30&lt;=Ferien!$D$20),AND(BE30&gt;=Ferien!$C$21,BE30&lt;=Ferien!$D$21))),1,0)</f>
        <v>1</v>
      </c>
      <c r="BJ30" s="825" t="s">
        <v>161</v>
      </c>
      <c r="BK30" s="826"/>
      <c r="BL30" s="255" t="s">
        <v>162</v>
      </c>
      <c r="BM30" s="238"/>
      <c r="BN30" s="238"/>
      <c r="BO30" s="238"/>
      <c r="BT30" s="238"/>
      <c r="BU30" s="238"/>
      <c r="BV30" s="238"/>
      <c r="BW30" s="238"/>
      <c r="BX30" s="238"/>
      <c r="BY30" s="238"/>
    </row>
    <row r="31" spans="2:77" ht="19.5" customHeight="1" thickBot="1">
      <c r="B31" s="250">
        <f t="shared" ca="1" si="0"/>
        <v>45319</v>
      </c>
      <c r="C31" s="573" t="str">
        <f t="shared" ca="1" si="1"/>
        <v/>
      </c>
      <c r="D31" s="317" t="str">
        <f ca="1">IFERROR(VLOOKUP(B31,Mond!$B$3:$C$59,2,0),"")</f>
        <v/>
      </c>
      <c r="E31" s="302" t="str">
        <f ca="1">IFERROR(IF(VLOOKUP(B31,Gießtage!$L$8:$L$98,1,0),1,0),"")</f>
        <v/>
      </c>
      <c r="F31" s="251">
        <f ca="1">IF(AND(OR(AND(B31&gt;=Ferien!$C$11,B31&lt;=Ferien!$D$11),AND(B31&gt;=Ferien!$C$12,B31&lt;=Ferien!$D$12),AND(B31&gt;=Ferien!$C$13,B31&lt;=Ferien!$D$13),AND(B31&gt;=Ferien!$C$14,B31&lt;=Ferien!$D$14),AND(B31&gt;=Ferien!$C$15,B31&lt;=Ferien!$D$15),AND(B31&gt;=Ferien!$C$16,B31&lt;=Ferien!$D$16),AND(B31&gt;=Ferien!$C$17,B31&lt;=Ferien!$D$17),AND(B31&gt;=Ferien!$C$18,B31&lt;=Ferien!$D$18),AND(B31&gt;=Ferien!$C$19,B31&lt;=Ferien!$D$19),AND(B31&gt;=Ferien!$C$20,B31&lt;=Ferien!$D$20),AND(B31&gt;=Ferien!$C$21,B31&lt;=Ferien!$D$21))),1,0)</f>
        <v>0</v>
      </c>
      <c r="G31" s="250">
        <f t="shared" ca="1" si="2"/>
        <v>45350</v>
      </c>
      <c r="H31" s="573" t="s">
        <v>258</v>
      </c>
      <c r="I31" s="317" t="str">
        <f ca="1">IFERROR(VLOOKUP(G31,Mond!$B$3:$C$59,2,0),"")</f>
        <v/>
      </c>
      <c r="J31" s="302" t="str">
        <f ca="1">IFERROR(IF(VLOOKUP(G31,Gießtage!$L$8:$L$98,1,0),1,0),"")</f>
        <v/>
      </c>
      <c r="K31" s="251">
        <f ca="1">IF(AND(OR(AND(G31&gt;=Ferien!$C$11,G31&lt;=Ferien!$D$11),AND(G31&gt;=Ferien!$C$12,G31&lt;=Ferien!$D$12),AND(G31&gt;=Ferien!$C$13,G31&lt;=Ferien!$D$13),AND(G31&gt;=Ferien!$C$14,G31&lt;=Ferien!$D$14),AND(G31&gt;=Ferien!$C$15,G31&lt;=Ferien!$D$15),AND(G31&gt;=Ferien!$C$16,G31&lt;=Ferien!$D$16),AND(G31&gt;=Ferien!$C$17,G31&lt;=Ferien!$D$17),AND(G31&gt;=Ferien!$C$18,G31&lt;=Ferien!$D$18),AND(G31&gt;=Ferien!$C$19,G31&lt;=Ferien!$D$19),AND(G31&gt;=Ferien!$C$20,G31&lt;=Ferien!$D$20),AND(G31&gt;=Ferien!$C$21,G31&lt;=Ferien!$D$21))),1,0)</f>
        <v>0</v>
      </c>
      <c r="L31" s="250">
        <f t="shared" ca="1" si="3"/>
        <v>45379</v>
      </c>
      <c r="M31" s="573" t="str">
        <f t="shared" ca="1" si="4"/>
        <v>{</v>
      </c>
      <c r="N31" s="317" t="str">
        <f ca="1">IFERROR(VLOOKUP(L31,Mond!$B$3:$C$59,2,0),"")</f>
        <v/>
      </c>
      <c r="O31" s="302">
        <f ca="1">IFERROR(IF(VLOOKUP(L31,Gießtage!$L$8:$L$98,1,0),1,0),"")</f>
        <v>1</v>
      </c>
      <c r="P31" s="251">
        <f ca="1">IF(AND(OR(AND(L31&gt;=Ferien!$C$11,L31&lt;=Ferien!$D$11),AND(L31&gt;=Ferien!$C$12,L31&lt;=Ferien!$D$12),AND(L31&gt;=Ferien!$C$13,L31&lt;=Ferien!$D$13),AND(L31&gt;=Ferien!$C$14,L31&lt;=Ferien!$D$14),AND(L31&gt;=Ferien!$C$15,L31&lt;=Ferien!$D$15),AND(L31&gt;=Ferien!$C$16,L31&lt;=Ferien!$D$16),AND(L31&gt;=Ferien!$C$17,L31&lt;=Ferien!$D$17),AND(L31&gt;=Ferien!$C$18,L31&lt;=Ferien!$D$18),AND(L31&gt;=Ferien!$C$19,L31&lt;=Ferien!$D$19),AND(L31&gt;=Ferien!$C$20,L31&lt;=Ferien!$D$20),AND(L31&gt;=Ferien!$C$21,L31&lt;=Ferien!$D$21))),1,0)</f>
        <v>1</v>
      </c>
      <c r="Q31" s="250">
        <f t="shared" ca="1" si="5"/>
        <v>45410</v>
      </c>
      <c r="R31" s="573" t="str">
        <f t="shared" ca="1" si="6"/>
        <v/>
      </c>
      <c r="S31" s="317" t="str">
        <f ca="1">IFERROR(VLOOKUP(Q31,Mond!$B$3:$C$59,2,0),"")</f>
        <v/>
      </c>
      <c r="T31" s="302" t="str">
        <f ca="1">IFERROR(IF(VLOOKUP(Q31,Gießtage!$L$8:$L$98,1,0),1,0),"")</f>
        <v/>
      </c>
      <c r="U31" s="251">
        <f ca="1">IF(AND(OR(AND(Q31&gt;=Ferien!$C$11,Q31&lt;=Ferien!$D$11),AND(Q31&gt;=Ferien!$C$12,Q31&lt;=Ferien!$D$12),AND(Q31&gt;=Ferien!$C$13,Q31&lt;=Ferien!$D$13),AND(Q31&gt;=Ferien!$C$14,Q31&lt;=Ferien!$D$14),AND(Q31&gt;=Ferien!$C$15,Q31&lt;=Ferien!$D$15),AND(Q31&gt;=Ferien!$C$16,Q31&lt;=Ferien!$D$16),AND(Q31&gt;=Ferien!$C$17,Q31&lt;=Ferien!$D$17),AND(Q31&gt;=Ferien!$C$18,Q31&lt;=Ferien!$D$18),AND(Q31&gt;=Ferien!$C$19,Q31&lt;=Ferien!$D$19),AND(Q31&gt;=Ferien!$C$20,Q31&lt;=Ferien!$D$20),AND(Q31&gt;=Ferien!$C$21,Q31&lt;=Ferien!$D$21))),1,0)</f>
        <v>0</v>
      </c>
      <c r="V31" s="250">
        <f t="shared" ca="1" si="7"/>
        <v>45440</v>
      </c>
      <c r="W31" s="573" t="str">
        <f t="shared" ca="1" si="8"/>
        <v/>
      </c>
      <c r="X31" s="317" t="str">
        <f ca="1">IFERROR(VLOOKUP(V31,Mond!$B$3:$C$59,2,0),"")</f>
        <v/>
      </c>
      <c r="Y31" s="302" t="str">
        <f ca="1">IFERROR(IF(VLOOKUP(V31,Gießtage!$L$8:$L$98,1,0),1,0),"")</f>
        <v/>
      </c>
      <c r="Z31" s="251">
        <f ca="1">IF(AND(OR(AND(V31&gt;=Ferien!$C$11,V31&lt;=Ferien!$D$11),AND(V31&gt;=Ferien!$C$12,V31&lt;=Ferien!$D$12),AND(V31&gt;=Ferien!$C$13,V31&lt;=Ferien!$D$13),AND(V31&gt;=Ferien!$C$14,V31&lt;=Ferien!$D$14),AND(V31&gt;=Ferien!$C$15,V31&lt;=Ferien!$D$15),AND(V31&gt;=Ferien!$C$16,V31&lt;=Ferien!$D$16),AND(V31&gt;=Ferien!$C$17,V31&lt;=Ferien!$D$17),AND(V31&gt;=Ferien!$C$18,V31&lt;=Ferien!$D$18),AND(V31&gt;=Ferien!$C$19,V31&lt;=Ferien!$D$19),AND(V31&gt;=Ferien!$C$20,V31&lt;=Ferien!$D$20),AND(V31&gt;=Ferien!$C$21,V31&lt;=Ferien!$D$21))),1,0)</f>
        <v>1</v>
      </c>
      <c r="AA31" s="250">
        <f t="shared" ca="1" si="9"/>
        <v>45471</v>
      </c>
      <c r="AB31" s="573" t="str">
        <f t="shared" ca="1" si="10"/>
        <v>{</v>
      </c>
      <c r="AC31" s="317" t="str">
        <f ca="1">IFERROR(VLOOKUP(AA31,Mond!$B$3:$C$59,2,0),"")</f>
        <v>T</v>
      </c>
      <c r="AD31" s="302">
        <f ca="1">IFERROR(IF(VLOOKUP(AA31,Gießtage!$L$8:$L$98,1,0),1,0),"")</f>
        <v>1</v>
      </c>
      <c r="AE31" s="251">
        <f ca="1">IF(AND(OR(AND(AA31&gt;=Ferien!$C$11,AA31&lt;=Ferien!$D$11),AND(AA31&gt;=Ferien!$C$12,AA31&lt;=Ferien!$D$12),AND(AA31&gt;=Ferien!$C$13,AA31&lt;=Ferien!$D$13),AND(AA31&gt;=Ferien!$C$14,AA31&lt;=Ferien!$D$14),AND(AA31&gt;=Ferien!$C$15,AA31&lt;=Ferien!$D$15),AND(AA31&gt;=Ferien!$C$16,AA31&lt;=Ferien!$D$16),AND(AA31&gt;=Ferien!$C$17,AA31&lt;=Ferien!$D$17),AND(AA31&gt;=Ferien!$C$18,AA31&lt;=Ferien!$D$18),AND(AA31&gt;=Ferien!$C$19,AA31&lt;=Ferien!$D$19),AND(AA31&gt;=Ferien!$C$20,AA31&lt;=Ferien!$D$20),AND(AA31&gt;=Ferien!$C$21,AA31&lt;=Ferien!$D$21))),1,0)</f>
        <v>0</v>
      </c>
      <c r="AF31" s="250">
        <f t="shared" ca="1" si="11"/>
        <v>45501</v>
      </c>
      <c r="AG31" s="573" t="str">
        <f t="shared" ca="1" si="12"/>
        <v/>
      </c>
      <c r="AH31" s="317" t="str">
        <f ca="1">IFERROR(VLOOKUP(AF31,Mond!$B$3:$C$59,2,0),"")</f>
        <v>T</v>
      </c>
      <c r="AI31" s="302" t="str">
        <f ca="1">IFERROR(IF(VLOOKUP(AF31,Gießtage!$L$8:$L$98,1,0),1,0),"")</f>
        <v/>
      </c>
      <c r="AJ31" s="251">
        <f ca="1">IF(AND(OR(AND(AF31&gt;=Ferien!$C$11,AF31&lt;=Ferien!$D$11),AND(AF31&gt;=Ferien!$C$12,AF31&lt;=Ferien!$D$12),AND(AF31&gt;=Ferien!$C$13,AF31&lt;=Ferien!$D$13),AND(AF31&gt;=Ferien!$C$14,AF31&lt;=Ferien!$D$14),AND(AF31&gt;=Ferien!$C$15,AF31&lt;=Ferien!$D$15),AND(AF31&gt;=Ferien!$C$16,AF31&lt;=Ferien!$D$16),AND(AF31&gt;=Ferien!$C$17,AF31&lt;=Ferien!$D$17),AND(AF31&gt;=Ferien!$C$18,AF31&lt;=Ferien!$D$18),AND(AF31&gt;=Ferien!$C$19,AF31&lt;=Ferien!$D$19),AND(AF31&gt;=Ferien!$C$20,AF31&lt;=Ferien!$D$20),AND(AF31&gt;=Ferien!$C$21,AF31&lt;=Ferien!$D$21))),1,0)</f>
        <v>1</v>
      </c>
      <c r="AK31" s="250">
        <f t="shared" ca="1" si="13"/>
        <v>45532</v>
      </c>
      <c r="AL31" s="573" t="str">
        <f t="shared" ca="1" si="14"/>
        <v>{</v>
      </c>
      <c r="AM31" s="317" t="str">
        <f ca="1">IFERROR(VLOOKUP(AK31,Mond!$B$3:$C$59,2,0),"")</f>
        <v/>
      </c>
      <c r="AN31" s="302">
        <f ca="1">IFERROR(IF(VLOOKUP(AK31,Gießtage!$L$8:$L$98,1,0),1,0),"")</f>
        <v>1</v>
      </c>
      <c r="AO31" s="251">
        <f ca="1">IF(AND(OR(AND(AK31&gt;=Ferien!$C$11,AK31&lt;=Ferien!$D$11),AND(AK31&gt;=Ferien!$C$12,AK31&lt;=Ferien!$D$12),AND(AK31&gt;=Ferien!$C$13,AK31&lt;=Ferien!$D$13),AND(AK31&gt;=Ferien!$C$14,AK31&lt;=Ferien!$D$14),AND(AK31&gt;=Ferien!$C$15,AK31&lt;=Ferien!$D$15),AND(AK31&gt;=Ferien!$C$16,AK31&lt;=Ferien!$D$16),AND(AK31&gt;=Ferien!$C$17,AK31&lt;=Ferien!$D$17),AND(AK31&gt;=Ferien!$C$18,AK31&lt;=Ferien!$D$18),AND(AK31&gt;=Ferien!$C$19,AK31&lt;=Ferien!$D$19),AND(AK31&gt;=Ferien!$C$20,AK31&lt;=Ferien!$D$20),AND(AK31&gt;=Ferien!$C$21,AK31&lt;=Ferien!$D$21))),1,0)</f>
        <v>1</v>
      </c>
      <c r="AP31" s="250">
        <f t="shared" ca="1" si="15"/>
        <v>45563</v>
      </c>
      <c r="AQ31" s="573" t="str">
        <f t="shared" ca="1" si="16"/>
        <v/>
      </c>
      <c r="AR31" s="317" t="str">
        <f ca="1">IFERROR(VLOOKUP(AP31,Mond!$B$3:$C$59,2,0),"")</f>
        <v/>
      </c>
      <c r="AS31" s="302" t="str">
        <f ca="1">IFERROR(IF(VLOOKUP(AP31,Gießtage!$L$8:$L$98,1,0),1,0),"")</f>
        <v/>
      </c>
      <c r="AT31" s="251">
        <f ca="1">IF(AND(OR(AND(AP31&gt;=Ferien!$C$11,AP31&lt;=Ferien!$D$11),AND(AP31&gt;=Ferien!$C$12,AP31&lt;=Ferien!$D$12),AND(AP31&gt;=Ferien!$C$13,AP31&lt;=Ferien!$D$13),AND(AP31&gt;=Ferien!$C$14,AP31&lt;=Ferien!$D$14),AND(AP31&gt;=Ferien!$C$15,AP31&lt;=Ferien!$D$15),AND(AP31&gt;=Ferien!$C$16,AP31&lt;=Ferien!$D$16),AND(AP31&gt;=Ferien!$C$17,AP31&lt;=Ferien!$D$17),AND(AP31&gt;=Ferien!$C$18,AP31&lt;=Ferien!$D$18),AND(AP31&gt;=Ferien!$C$19,AP31&lt;=Ferien!$D$19),AND(AP31&gt;=Ferien!$C$20,AP31&lt;=Ferien!$D$20),AND(AP31&gt;=Ferien!$C$21,AP31&lt;=Ferien!$D$21))),1,0)</f>
        <v>0</v>
      </c>
      <c r="AU31" s="250">
        <f t="shared" ca="1" si="17"/>
        <v>45593</v>
      </c>
      <c r="AV31" s="573" t="str">
        <f t="shared" ca="1" si="18"/>
        <v/>
      </c>
      <c r="AW31" s="317" t="str">
        <f ca="1">IFERROR(VLOOKUP(AU31,Mond!$B$3:$C$59,2,0),"")</f>
        <v/>
      </c>
      <c r="AX31" s="302" t="str">
        <f ca="1">IFERROR(IF(VLOOKUP(AU31,Gießtage!$L$8:$L$98,1,0),1,0),"")</f>
        <v/>
      </c>
      <c r="AY31" s="251">
        <f ca="1">IF(AND(OR(AND(AU31&gt;=Ferien!$C$11,AU31&lt;=Ferien!$D$11),AND(AU31&gt;=Ferien!$C$12,AU31&lt;=Ferien!$D$12),AND(AU31&gt;=Ferien!$C$13,AU31&lt;=Ferien!$D$13),AND(AU31&gt;=Ferien!$C$14,AU31&lt;=Ferien!$D$14),AND(AU31&gt;=Ferien!$C$15,AU31&lt;=Ferien!$D$15),AND(AU31&gt;=Ferien!$C$16,AU31&lt;=Ferien!$D$16),AND(AU31&gt;=Ferien!$C$17,AU31&lt;=Ferien!$D$17),AND(AU31&gt;=Ferien!$C$18,AU31&lt;=Ferien!$D$18),AND(AU31&gt;=Ferien!$C$19,AU31&lt;=Ferien!$D$19),AND(AU31&gt;=Ferien!$C$20,AU31&lt;=Ferien!$D$20),AND(AU31&gt;=Ferien!$C$21,AU31&lt;=Ferien!$D$21))),1,0)</f>
        <v>1</v>
      </c>
      <c r="AZ31" s="250">
        <f t="shared" ca="1" si="19"/>
        <v>45624</v>
      </c>
      <c r="BA31" s="573" t="str">
        <f t="shared" ca="1" si="20"/>
        <v>{</v>
      </c>
      <c r="BB31" s="317" t="str">
        <f ca="1">IFERROR(VLOOKUP(AZ31,Mond!$B$3:$C$59,2,0),"")</f>
        <v/>
      </c>
      <c r="BC31" s="302">
        <f ca="1">IFERROR(IF(VLOOKUP(AZ31,Gießtage!$L$8:$L$98,1,0),1,0),"")</f>
        <v>1</v>
      </c>
      <c r="BD31" s="251">
        <f ca="1">IF(AND(OR(AND(AZ31&gt;=Ferien!$C$11,AZ31&lt;=Ferien!$D$11),AND(AZ31&gt;=Ferien!$C$12,AZ31&lt;=Ferien!$D$12),AND(AZ31&gt;=Ferien!$C$13,AZ31&lt;=Ferien!$D$13),AND(AZ31&gt;=Ferien!$C$14,AZ31&lt;=Ferien!$D$14),AND(AZ31&gt;=Ferien!$C$15,AZ31&lt;=Ferien!$D$15),AND(AZ31&gt;=Ferien!$C$16,AZ31&lt;=Ferien!$D$16),AND(AZ31&gt;=Ferien!$C$17,AZ31&lt;=Ferien!$D$17),AND(AZ31&gt;=Ferien!$C$18,AZ31&lt;=Ferien!$D$18),AND(AZ31&gt;=Ferien!$C$19,AZ31&lt;=Ferien!$D$19),AND(AZ31&gt;=Ferien!$C$20,AZ31&lt;=Ferien!$D$20),AND(AZ31&gt;=Ferien!$C$21,AZ31&lt;=Ferien!$D$21))),1,0)</f>
        <v>0</v>
      </c>
      <c r="BE31" s="250">
        <f t="shared" ca="1" si="21"/>
        <v>45654</v>
      </c>
      <c r="BF31" s="573" t="str">
        <f t="shared" ca="1" si="22"/>
        <v/>
      </c>
      <c r="BG31" s="317" t="str">
        <f ca="1">IFERROR(VLOOKUP(BE31,Mond!$B$3:$C$59,2,0),"")</f>
        <v/>
      </c>
      <c r="BH31" s="302" t="str">
        <f ca="1">IFERROR(IF(VLOOKUP(BE31,Gießtage!$L$8:$L$98,1,0),1,0),"")</f>
        <v/>
      </c>
      <c r="BI31" s="252">
        <f ca="1">IF(AND(OR(AND(BE31&gt;=Ferien!$C$11,BE31&lt;=Ferien!$D$11),AND(BE31&gt;=Ferien!$C$12,BE31&lt;=Ferien!$D$12),AND(BE31&gt;=Ferien!$C$13,BE31&lt;=Ferien!$D$13),AND(BE31&gt;=Ferien!$C$14,BE31&lt;=Ferien!$D$14),AND(BE31&gt;=Ferien!$C$15,BE31&lt;=Ferien!$D$15),AND(BE31&gt;=Ferien!$C$16,BE31&lt;=Ferien!$D$16),AND(BE31&gt;=Ferien!$C$17,BE31&lt;=Ferien!$D$17),AND(BE31&gt;=Ferien!$C$18,BE31&lt;=Ferien!$D$18),AND(BE31&gt;=Ferien!$C$19,BE31&lt;=Ferien!$D$19),AND(BE31&gt;=Ferien!$C$20,BE31&lt;=Ferien!$D$20),AND(BE31&gt;=Ferien!$C$21,BE31&lt;=Ferien!$D$21))),1,0)</f>
        <v>1</v>
      </c>
      <c r="BJ31" s="238"/>
      <c r="BK31" s="238"/>
      <c r="BM31" s="238"/>
      <c r="BN31" s="238"/>
      <c r="BO31" s="238"/>
      <c r="BT31" s="238"/>
      <c r="BU31" s="238"/>
      <c r="BV31" s="238"/>
      <c r="BW31" s="238"/>
      <c r="BX31" s="238"/>
      <c r="BY31" s="238"/>
    </row>
    <row r="32" spans="2:77" ht="19.5" customHeight="1">
      <c r="B32" s="250">
        <f t="shared" ca="1" si="0"/>
        <v>45320</v>
      </c>
      <c r="C32" s="573" t="str">
        <f t="shared" ca="1" si="1"/>
        <v/>
      </c>
      <c r="D32" s="317" t="str">
        <f ca="1">IFERROR(VLOOKUP(B32,Mond!$B$3:$C$59,2,0),"")</f>
        <v/>
      </c>
      <c r="E32" s="302" t="str">
        <f ca="1">IFERROR(IF(VLOOKUP(B32,Gießtage!$L$8:$L$98,1,0),1,0),"")</f>
        <v/>
      </c>
      <c r="F32" s="251">
        <f ca="1">IF(AND(OR(AND(B32&gt;=Ferien!$C$11,B32&lt;=Ferien!$D$11),AND(B32&gt;=Ferien!$C$12,B32&lt;=Ferien!$D$12),AND(B32&gt;=Ferien!$C$13,B32&lt;=Ferien!$D$13),AND(B32&gt;=Ferien!$C$14,B32&lt;=Ferien!$D$14),AND(B32&gt;=Ferien!$C$15,B32&lt;=Ferien!$D$15),AND(B32&gt;=Ferien!$C$16,B32&lt;=Ferien!$D$16),AND(B32&gt;=Ferien!$C$17,B32&lt;=Ferien!$D$17),AND(B32&gt;=Ferien!$C$18,B32&lt;=Ferien!$D$18),AND(B32&gt;=Ferien!$C$19,B32&lt;=Ferien!$D$19),AND(B32&gt;=Ferien!$C$20,B32&lt;=Ferien!$D$20),AND(B32&gt;=Ferien!$C$21,B32&lt;=Ferien!$D$21))),1,0)</f>
        <v>0</v>
      </c>
      <c r="G32" s="250">
        <f ca="1">IF(G35=1,G31+1,"")</f>
        <v>45351</v>
      </c>
      <c r="H32" s="573" t="s">
        <v>258</v>
      </c>
      <c r="I32" s="317" t="str">
        <f ca="1">IFERROR(VLOOKUP(G32,Mond!$B$3:$C$59,2,0),"")</f>
        <v/>
      </c>
      <c r="J32" s="302">
        <f ca="1">IFERROR(IF(VLOOKUP(G32,Gießtage!$L$8:$L$98,1,0),1,0),"")</f>
        <v>1</v>
      </c>
      <c r="K32" s="251">
        <f ca="1">IF(AND(OR(AND(G32&gt;=Ferien!$C$11,G32&lt;=Ferien!$D$11),AND(G32&gt;=Ferien!$C$12,G32&lt;=Ferien!$D$12),AND(G32&gt;=Ferien!$C$13,G32&lt;=Ferien!$D$13),AND(G32&gt;=Ferien!$C$14,G32&lt;=Ferien!$D$14),AND(G32&gt;=Ferien!$C$15,G32&lt;=Ferien!$D$15),AND(G32&gt;=Ferien!$C$16,G32&lt;=Ferien!$D$16),AND(G32&gt;=Ferien!$C$17,G32&lt;=Ferien!$D$17),AND(G32&gt;=Ferien!$C$18,G32&lt;=Ferien!$D$18),AND(G32&gt;=Ferien!$C$19,G32&lt;=Ferien!$D$19),AND(G32&gt;=Ferien!$C$20,G32&lt;=Ferien!$D$20),AND(G32&gt;=Ferien!$C$21,G32&lt;=Ferien!$D$21))),1,0)</f>
        <v>0</v>
      </c>
      <c r="L32" s="250">
        <f t="shared" ca="1" si="3"/>
        <v>45380</v>
      </c>
      <c r="M32" s="573" t="str">
        <f t="shared" ca="1" si="4"/>
        <v>{</v>
      </c>
      <c r="N32" s="317" t="str">
        <f ca="1">IFERROR(VLOOKUP(L32,Mond!$B$3:$C$59,2,0),"")</f>
        <v/>
      </c>
      <c r="O32" s="302">
        <f ca="1">IFERROR(IF(VLOOKUP(L32,Gießtage!$L$8:$L$98,1,0),1,0),"")</f>
        <v>1</v>
      </c>
      <c r="P32" s="251">
        <f ca="1">IF(AND(OR(AND(L32&gt;=Ferien!$C$11,L32&lt;=Ferien!$D$11),AND(L32&gt;=Ferien!$C$12,L32&lt;=Ferien!$D$12),AND(L32&gt;=Ferien!$C$13,L32&lt;=Ferien!$D$13),AND(L32&gt;=Ferien!$C$14,L32&lt;=Ferien!$D$14),AND(L32&gt;=Ferien!$C$15,L32&lt;=Ferien!$D$15),AND(L32&gt;=Ferien!$C$16,L32&lt;=Ferien!$D$16),AND(L32&gt;=Ferien!$C$17,L32&lt;=Ferien!$D$17),AND(L32&gt;=Ferien!$C$18,L32&lt;=Ferien!$D$18),AND(L32&gt;=Ferien!$C$19,L32&lt;=Ferien!$D$19),AND(L32&gt;=Ferien!$C$20,L32&lt;=Ferien!$D$20),AND(L32&gt;=Ferien!$C$21,L32&lt;=Ferien!$D$21))),1,0)</f>
        <v>1</v>
      </c>
      <c r="Q32" s="250">
        <f t="shared" ca="1" si="5"/>
        <v>45411</v>
      </c>
      <c r="R32" s="573" t="str">
        <f t="shared" ca="1" si="6"/>
        <v/>
      </c>
      <c r="S32" s="317" t="str">
        <f ca="1">IFERROR(VLOOKUP(Q32,Mond!$B$3:$C$59,2,0),"")</f>
        <v/>
      </c>
      <c r="T32" s="302" t="str">
        <f ca="1">IFERROR(IF(VLOOKUP(Q32,Gießtage!$L$8:$L$98,1,0),1,0),"")</f>
        <v/>
      </c>
      <c r="U32" s="251">
        <f ca="1">IF(AND(OR(AND(Q32&gt;=Ferien!$C$11,Q32&lt;=Ferien!$D$11),AND(Q32&gt;=Ferien!$C$12,Q32&lt;=Ferien!$D$12),AND(Q32&gt;=Ferien!$C$13,Q32&lt;=Ferien!$D$13),AND(Q32&gt;=Ferien!$C$14,Q32&lt;=Ferien!$D$14),AND(Q32&gt;=Ferien!$C$15,Q32&lt;=Ferien!$D$15),AND(Q32&gt;=Ferien!$C$16,Q32&lt;=Ferien!$D$16),AND(Q32&gt;=Ferien!$C$17,Q32&lt;=Ferien!$D$17),AND(Q32&gt;=Ferien!$C$18,Q32&lt;=Ferien!$D$18),AND(Q32&gt;=Ferien!$C$19,Q32&lt;=Ferien!$D$19),AND(Q32&gt;=Ferien!$C$20,Q32&lt;=Ferien!$D$20),AND(Q32&gt;=Ferien!$C$21,Q32&lt;=Ferien!$D$21))),1,0)</f>
        <v>0</v>
      </c>
      <c r="V32" s="250">
        <f t="shared" ca="1" si="7"/>
        <v>45441</v>
      </c>
      <c r="W32" s="573" t="str">
        <f t="shared" ca="1" si="8"/>
        <v/>
      </c>
      <c r="X32" s="317" t="str">
        <f ca="1">IFERROR(VLOOKUP(V32,Mond!$B$3:$C$59,2,0),"")</f>
        <v/>
      </c>
      <c r="Y32" s="302" t="str">
        <f ca="1">IFERROR(IF(VLOOKUP(V32,Gießtage!$L$8:$L$98,1,0),1,0),"")</f>
        <v/>
      </c>
      <c r="Z32" s="251">
        <f ca="1">IF(AND(OR(AND(V32&gt;=Ferien!$C$11,V32&lt;=Ferien!$D$11),AND(V32&gt;=Ferien!$C$12,V32&lt;=Ferien!$D$12),AND(V32&gt;=Ferien!$C$13,V32&lt;=Ferien!$D$13),AND(V32&gt;=Ferien!$C$14,V32&lt;=Ferien!$D$14),AND(V32&gt;=Ferien!$C$15,V32&lt;=Ferien!$D$15),AND(V32&gt;=Ferien!$C$16,V32&lt;=Ferien!$D$16),AND(V32&gt;=Ferien!$C$17,V32&lt;=Ferien!$D$17),AND(V32&gt;=Ferien!$C$18,V32&lt;=Ferien!$D$18),AND(V32&gt;=Ferien!$C$19,V32&lt;=Ferien!$D$19),AND(V32&gt;=Ferien!$C$20,V32&lt;=Ferien!$D$20),AND(V32&gt;=Ferien!$C$21,V32&lt;=Ferien!$D$21))),1,0)</f>
        <v>1</v>
      </c>
      <c r="AA32" s="250">
        <f t="shared" ca="1" si="9"/>
        <v>45472</v>
      </c>
      <c r="AB32" s="573" t="str">
        <f t="shared" ca="1" si="10"/>
        <v/>
      </c>
      <c r="AC32" s="317" t="str">
        <f ca="1">IFERROR(VLOOKUP(AA32,Mond!$B$3:$C$59,2,0),"")</f>
        <v/>
      </c>
      <c r="AD32" s="302" t="str">
        <f ca="1">IFERROR(IF(VLOOKUP(AA32,Gießtage!$L$8:$L$98,1,0),1,0),"")</f>
        <v/>
      </c>
      <c r="AE32" s="251">
        <f ca="1">IF(AND(OR(AND(AA32&gt;=Ferien!$C$11,AA32&lt;=Ferien!$D$11),AND(AA32&gt;=Ferien!$C$12,AA32&lt;=Ferien!$D$12),AND(AA32&gt;=Ferien!$C$13,AA32&lt;=Ferien!$D$13),AND(AA32&gt;=Ferien!$C$14,AA32&lt;=Ferien!$D$14),AND(AA32&gt;=Ferien!$C$15,AA32&lt;=Ferien!$D$15),AND(AA32&gt;=Ferien!$C$16,AA32&lt;=Ferien!$D$16),AND(AA32&gt;=Ferien!$C$17,AA32&lt;=Ferien!$D$17),AND(AA32&gt;=Ferien!$C$18,AA32&lt;=Ferien!$D$18),AND(AA32&gt;=Ferien!$C$19,AA32&lt;=Ferien!$D$19),AND(AA32&gt;=Ferien!$C$20,AA32&lt;=Ferien!$D$20),AND(AA32&gt;=Ferien!$C$21,AA32&lt;=Ferien!$D$21))),1,0)</f>
        <v>0</v>
      </c>
      <c r="AF32" s="250">
        <f t="shared" ca="1" si="11"/>
        <v>45502</v>
      </c>
      <c r="AG32" s="573" t="str">
        <f t="shared" ca="1" si="12"/>
        <v/>
      </c>
      <c r="AH32" s="317" t="str">
        <f ca="1">IFERROR(VLOOKUP(AF32,Mond!$B$3:$C$59,2,0),"")</f>
        <v/>
      </c>
      <c r="AI32" s="302" t="str">
        <f ca="1">IFERROR(IF(VLOOKUP(AF32,Gießtage!$L$8:$L$98,1,0),1,0),"")</f>
        <v/>
      </c>
      <c r="AJ32" s="251">
        <f ca="1">IF(AND(OR(AND(AF32&gt;=Ferien!$C$11,AF32&lt;=Ferien!$D$11),AND(AF32&gt;=Ferien!$C$12,AF32&lt;=Ferien!$D$12),AND(AF32&gt;=Ferien!$C$13,AF32&lt;=Ferien!$D$13),AND(AF32&gt;=Ferien!$C$14,AF32&lt;=Ferien!$D$14),AND(AF32&gt;=Ferien!$C$15,AF32&lt;=Ferien!$D$15),AND(AF32&gt;=Ferien!$C$16,AF32&lt;=Ferien!$D$16),AND(AF32&gt;=Ferien!$C$17,AF32&lt;=Ferien!$D$17),AND(AF32&gt;=Ferien!$C$18,AF32&lt;=Ferien!$D$18),AND(AF32&gt;=Ferien!$C$19,AF32&lt;=Ferien!$D$19),AND(AF32&gt;=Ferien!$C$20,AF32&lt;=Ferien!$D$20),AND(AF32&gt;=Ferien!$C$21,AF32&lt;=Ferien!$D$21))),1,0)</f>
        <v>1</v>
      </c>
      <c r="AK32" s="250">
        <f t="shared" ca="1" si="13"/>
        <v>45533</v>
      </c>
      <c r="AL32" s="573" t="str">
        <f t="shared" ca="1" si="14"/>
        <v>{</v>
      </c>
      <c r="AM32" s="317" t="str">
        <f ca="1">IFERROR(VLOOKUP(AK32,Mond!$B$3:$C$59,2,0),"")</f>
        <v/>
      </c>
      <c r="AN32" s="302">
        <f ca="1">IFERROR(IF(VLOOKUP(AK32,Gießtage!$L$8:$L$98,1,0),1,0),"")</f>
        <v>1</v>
      </c>
      <c r="AO32" s="251">
        <f ca="1">IF(AND(OR(AND(AK32&gt;=Ferien!$C$11,AK32&lt;=Ferien!$D$11),AND(AK32&gt;=Ferien!$C$12,AK32&lt;=Ferien!$D$12),AND(AK32&gt;=Ferien!$C$13,AK32&lt;=Ferien!$D$13),AND(AK32&gt;=Ferien!$C$14,AK32&lt;=Ferien!$D$14),AND(AK32&gt;=Ferien!$C$15,AK32&lt;=Ferien!$D$15),AND(AK32&gt;=Ferien!$C$16,AK32&lt;=Ferien!$D$16),AND(AK32&gt;=Ferien!$C$17,AK32&lt;=Ferien!$D$17),AND(AK32&gt;=Ferien!$C$18,AK32&lt;=Ferien!$D$18),AND(AK32&gt;=Ferien!$C$19,AK32&lt;=Ferien!$D$19),AND(AK32&gt;=Ferien!$C$20,AK32&lt;=Ferien!$D$20),AND(AK32&gt;=Ferien!$C$21,AK32&lt;=Ferien!$D$21))),1,0)</f>
        <v>1</v>
      </c>
      <c r="AP32" s="250">
        <f t="shared" ca="1" si="15"/>
        <v>45564</v>
      </c>
      <c r="AQ32" s="573" t="str">
        <f t="shared" ca="1" si="16"/>
        <v/>
      </c>
      <c r="AR32" s="317" t="str">
        <f ca="1">IFERROR(VLOOKUP(AP32,Mond!$B$3:$C$59,2,0),"")</f>
        <v/>
      </c>
      <c r="AS32" s="302" t="str">
        <f ca="1">IFERROR(IF(VLOOKUP(AP32,Gießtage!$L$8:$L$98,1,0),1,0),"")</f>
        <v/>
      </c>
      <c r="AT32" s="251">
        <f ca="1">IF(AND(OR(AND(AP32&gt;=Ferien!$C$11,AP32&lt;=Ferien!$D$11),AND(AP32&gt;=Ferien!$C$12,AP32&lt;=Ferien!$D$12),AND(AP32&gt;=Ferien!$C$13,AP32&lt;=Ferien!$D$13),AND(AP32&gt;=Ferien!$C$14,AP32&lt;=Ferien!$D$14),AND(AP32&gt;=Ferien!$C$15,AP32&lt;=Ferien!$D$15),AND(AP32&gt;=Ferien!$C$16,AP32&lt;=Ferien!$D$16),AND(AP32&gt;=Ferien!$C$17,AP32&lt;=Ferien!$D$17),AND(AP32&gt;=Ferien!$C$18,AP32&lt;=Ferien!$D$18),AND(AP32&gt;=Ferien!$C$19,AP32&lt;=Ferien!$D$19),AND(AP32&gt;=Ferien!$C$20,AP32&lt;=Ferien!$D$20),AND(AP32&gt;=Ferien!$C$21,AP32&lt;=Ferien!$D$21))),1,0)</f>
        <v>0</v>
      </c>
      <c r="AU32" s="250">
        <f t="shared" ca="1" si="17"/>
        <v>45594</v>
      </c>
      <c r="AV32" s="573" t="str">
        <f t="shared" ca="1" si="18"/>
        <v/>
      </c>
      <c r="AW32" s="317" t="str">
        <f ca="1">IFERROR(VLOOKUP(AU32,Mond!$B$3:$C$59,2,0),"")</f>
        <v/>
      </c>
      <c r="AX32" s="302" t="str">
        <f ca="1">IFERROR(IF(VLOOKUP(AU32,Gießtage!$L$8:$L$98,1,0),1,0),"")</f>
        <v/>
      </c>
      <c r="AY32" s="251">
        <f ca="1">IF(AND(OR(AND(AU32&gt;=Ferien!$C$11,AU32&lt;=Ferien!$D$11),AND(AU32&gt;=Ferien!$C$12,AU32&lt;=Ferien!$D$12),AND(AU32&gt;=Ferien!$C$13,AU32&lt;=Ferien!$D$13),AND(AU32&gt;=Ferien!$C$14,AU32&lt;=Ferien!$D$14),AND(AU32&gt;=Ferien!$C$15,AU32&lt;=Ferien!$D$15),AND(AU32&gt;=Ferien!$C$16,AU32&lt;=Ferien!$D$16),AND(AU32&gt;=Ferien!$C$17,AU32&lt;=Ferien!$D$17),AND(AU32&gt;=Ferien!$C$18,AU32&lt;=Ferien!$D$18),AND(AU32&gt;=Ferien!$C$19,AU32&lt;=Ferien!$D$19),AND(AU32&gt;=Ferien!$C$20,AU32&lt;=Ferien!$D$20),AND(AU32&gt;=Ferien!$C$21,AU32&lt;=Ferien!$D$21))),1,0)</f>
        <v>1</v>
      </c>
      <c r="AZ32" s="250">
        <f t="shared" ca="1" si="19"/>
        <v>45625</v>
      </c>
      <c r="BA32" s="573" t="str">
        <f t="shared" ca="1" si="20"/>
        <v>{</v>
      </c>
      <c r="BB32" s="317" t="str">
        <f ca="1">IFERROR(VLOOKUP(AZ32,Mond!$B$3:$C$59,2,0),"")</f>
        <v/>
      </c>
      <c r="BC32" s="302">
        <f ca="1">IFERROR(IF(VLOOKUP(AZ32,Gießtage!$L$8:$L$98,1,0),1,0),"")</f>
        <v>1</v>
      </c>
      <c r="BD32" s="251">
        <f ca="1">IF(AND(OR(AND(AZ32&gt;=Ferien!$C$11,AZ32&lt;=Ferien!$D$11),AND(AZ32&gt;=Ferien!$C$12,AZ32&lt;=Ferien!$D$12),AND(AZ32&gt;=Ferien!$C$13,AZ32&lt;=Ferien!$D$13),AND(AZ32&gt;=Ferien!$C$14,AZ32&lt;=Ferien!$D$14),AND(AZ32&gt;=Ferien!$C$15,AZ32&lt;=Ferien!$D$15),AND(AZ32&gt;=Ferien!$C$16,AZ32&lt;=Ferien!$D$16),AND(AZ32&gt;=Ferien!$C$17,AZ32&lt;=Ferien!$D$17),AND(AZ32&gt;=Ferien!$C$18,AZ32&lt;=Ferien!$D$18),AND(AZ32&gt;=Ferien!$C$19,AZ32&lt;=Ferien!$D$19),AND(AZ32&gt;=Ferien!$C$20,AZ32&lt;=Ferien!$D$20),AND(AZ32&gt;=Ferien!$C$21,AZ32&lt;=Ferien!$D$21))),1,0)</f>
        <v>0</v>
      </c>
      <c r="BE32" s="250">
        <f t="shared" ca="1" si="21"/>
        <v>45655</v>
      </c>
      <c r="BF32" s="573" t="str">
        <f t="shared" ca="1" si="22"/>
        <v/>
      </c>
      <c r="BG32" s="317" t="str">
        <f ca="1">IFERROR(VLOOKUP(BE32,Mond!$B$3:$C$59,2,0),"")</f>
        <v/>
      </c>
      <c r="BH32" s="302" t="str">
        <f ca="1">IFERROR(IF(VLOOKUP(BE32,Gießtage!$L$8:$L$98,1,0),1,0),"")</f>
        <v/>
      </c>
      <c r="BI32" s="252">
        <f ca="1">IF(AND(OR(AND(BE32&gt;=Ferien!$C$11,BE32&lt;=Ferien!$D$11),AND(BE32&gt;=Ferien!$C$12,BE32&lt;=Ferien!$D$12),AND(BE32&gt;=Ferien!$C$13,BE32&lt;=Ferien!$D$13),AND(BE32&gt;=Ferien!$C$14,BE32&lt;=Ferien!$D$14),AND(BE32&gt;=Ferien!$C$15,BE32&lt;=Ferien!$D$15),AND(BE32&gt;=Ferien!$C$16,BE32&lt;=Ferien!$D$16),AND(BE32&gt;=Ferien!$C$17,BE32&lt;=Ferien!$D$17),AND(BE32&gt;=Ferien!$C$18,BE32&lt;=Ferien!$D$18),AND(BE32&gt;=Ferien!$C$19,BE32&lt;=Ferien!$D$19),AND(BE32&gt;=Ferien!$C$20,BE32&lt;=Ferien!$D$20),AND(BE32&gt;=Ferien!$C$21,BE32&lt;=Ferien!$D$21))),1,0)</f>
        <v>1</v>
      </c>
      <c r="BJ32" s="689" t="s">
        <v>269</v>
      </c>
      <c r="BK32" s="690"/>
      <c r="BL32" s="238"/>
      <c r="BT32" s="238"/>
      <c r="BU32" s="238"/>
      <c r="BV32" s="238"/>
      <c r="BW32" s="238"/>
      <c r="BX32" s="238"/>
      <c r="BY32" s="238"/>
    </row>
    <row r="33" spans="2:77" ht="19.5" customHeight="1">
      <c r="B33" s="250">
        <f t="shared" ca="1" si="0"/>
        <v>45321</v>
      </c>
      <c r="C33" s="573" t="str">
        <f t="shared" ca="1" si="1"/>
        <v/>
      </c>
      <c r="D33" s="317" t="str">
        <f ca="1">IFERROR(VLOOKUP(B33,Mond!$B$3:$C$59,2,0),"")</f>
        <v/>
      </c>
      <c r="E33" s="302" t="str">
        <f ca="1">IFERROR(IF(VLOOKUP(B33,Gießtage!$L$8:$L$98,1,0),1,0),"")</f>
        <v/>
      </c>
      <c r="F33" s="251">
        <f ca="1">IF(AND(OR(AND(B33&gt;=Ferien!$C$11,B33&lt;=Ferien!$D$11),AND(B33&gt;=Ferien!$C$12,B33&lt;=Ferien!$D$12),AND(B33&gt;=Ferien!$C$13,B33&lt;=Ferien!$D$13),AND(B33&gt;=Ferien!$C$14,B33&lt;=Ferien!$D$14),AND(B33&gt;=Ferien!$C$15,B33&lt;=Ferien!$D$15),AND(B33&gt;=Ferien!$C$16,B33&lt;=Ferien!$D$16),AND(B33&gt;=Ferien!$C$17,B33&lt;=Ferien!$D$17),AND(B33&gt;=Ferien!$C$18,B33&lt;=Ferien!$D$18),AND(B33&gt;=Ferien!$C$19,B33&lt;=Ferien!$D$19),AND(B33&gt;=Ferien!$C$20,B33&lt;=Ferien!$D$20),AND(B33&gt;=Ferien!$C$21,B33&lt;=Ferien!$D$21))),1,0)</f>
        <v>0</v>
      </c>
      <c r="G33" s="250"/>
      <c r="H33" s="303" t="str">
        <f t="shared" ref="H33:H34" ca="1" si="36">IF(I33=1,"d","")</f>
        <v/>
      </c>
      <c r="I33" s="324" t="str">
        <f ca="1">IFERROR(IF(VLOOKUP(G33,Gießtage!$L$8:$L$98,1,0),1,0),"")</f>
        <v/>
      </c>
      <c r="J33" s="302"/>
      <c r="K33" s="251">
        <f>IF(AND(OR(AND(G33&gt;=Ferien!$C$11,G33&lt;=Ferien!$D$11),AND(G33&gt;=Ferien!$C$12,G33&lt;=Ferien!$D$12),AND(G33&gt;=Ferien!$C$13,G33&lt;=Ferien!$D$13),AND(G33&gt;=Ferien!$C$14,G33&lt;=Ferien!$D$14),AND(G33&gt;=Ferien!$C$15,G33&lt;=Ferien!$D$15),AND(G33&gt;=Ferien!$C$16,G33&lt;=Ferien!$D$16),AND(G33&gt;=Ferien!$C$17,G33&lt;=Ferien!$D$17))),1,0)</f>
        <v>0</v>
      </c>
      <c r="L33" s="250">
        <f t="shared" ca="1" si="3"/>
        <v>45381</v>
      </c>
      <c r="M33" s="573" t="str">
        <f t="shared" ca="1" si="4"/>
        <v/>
      </c>
      <c r="N33" s="317" t="str">
        <f ca="1">IFERROR(VLOOKUP(L33,Mond!$B$3:$C$59,2,0),"")</f>
        <v/>
      </c>
      <c r="O33" s="302" t="str">
        <f ca="1">IFERROR(IF(VLOOKUP(L33,Gießtage!$L$8:$L$98,1,0),1,0),"")</f>
        <v/>
      </c>
      <c r="P33" s="251">
        <f ca="1">IF(AND(OR(AND(L33&gt;=Ferien!$C$11,L33&lt;=Ferien!$D$11),AND(L33&gt;=Ferien!$C$12,L33&lt;=Ferien!$D$12),AND(L33&gt;=Ferien!$C$13,L33&lt;=Ferien!$D$13),AND(L33&gt;=Ferien!$C$14,L33&lt;=Ferien!$D$14),AND(L33&gt;=Ferien!$C$15,L33&lt;=Ferien!$D$15),AND(L33&gt;=Ferien!$C$16,L33&lt;=Ferien!$D$16),AND(L33&gt;=Ferien!$C$17,L33&lt;=Ferien!$D$17),AND(L33&gt;=Ferien!$C$18,L33&lt;=Ferien!$D$18),AND(L33&gt;=Ferien!$C$19,L33&lt;=Ferien!$D$19),AND(L33&gt;=Ferien!$C$20,L33&lt;=Ferien!$D$20),AND(L33&gt;=Ferien!$C$21,L33&lt;=Ferien!$D$21))),1,0)</f>
        <v>1</v>
      </c>
      <c r="Q33" s="250">
        <f t="shared" ca="1" si="5"/>
        <v>45412</v>
      </c>
      <c r="R33" s="573" t="str">
        <f t="shared" ca="1" si="6"/>
        <v/>
      </c>
      <c r="S33" s="317" t="str">
        <f ca="1">IFERROR(VLOOKUP(Q33,Mond!$B$3:$C$59,2,0),"")</f>
        <v/>
      </c>
      <c r="T33" s="302" t="str">
        <f ca="1">IFERROR(IF(VLOOKUP(Q33,Gießtage!$L$8:$L$98,1,0),1,0),"")</f>
        <v/>
      </c>
      <c r="U33" s="251">
        <f ca="1">IF(AND(OR(AND(Q33&gt;=Ferien!$C$11,Q33&lt;=Ferien!$D$11),AND(Q33&gt;=Ferien!$C$12,Q33&lt;=Ferien!$D$12),AND(Q33&gt;=Ferien!$C$13,Q33&lt;=Ferien!$D$13),AND(Q33&gt;=Ferien!$C$14,Q33&lt;=Ferien!$D$14),AND(Q33&gt;=Ferien!$C$15,Q33&lt;=Ferien!$D$15),AND(Q33&gt;=Ferien!$C$16,Q33&lt;=Ferien!$D$16),AND(Q33&gt;=Ferien!$C$17,Q33&lt;=Ferien!$D$17),AND(Q33&gt;=Ferien!$C$18,Q33&lt;=Ferien!$D$18),AND(Q33&gt;=Ferien!$C$19,Q33&lt;=Ferien!$D$19),AND(Q33&gt;=Ferien!$C$20,Q33&lt;=Ferien!$D$20),AND(Q33&gt;=Ferien!$C$21,Q33&lt;=Ferien!$D$21))),1,0)</f>
        <v>0</v>
      </c>
      <c r="V33" s="250">
        <f t="shared" ca="1" si="7"/>
        <v>45442</v>
      </c>
      <c r="W33" s="573" t="str">
        <f t="shared" ca="1" si="8"/>
        <v>{</v>
      </c>
      <c r="X33" s="317" t="str">
        <f ca="1">IFERROR(VLOOKUP(V33,Mond!$B$3:$C$59,2,0),"")</f>
        <v>T</v>
      </c>
      <c r="Y33" s="302">
        <f ca="1">IFERROR(IF(VLOOKUP(V33,Gießtage!$L$8:$L$98,1,0),1,0),"")</f>
        <v>1</v>
      </c>
      <c r="Z33" s="251">
        <f ca="1">IF(AND(OR(AND(V33&gt;=Ferien!$C$11,V33&lt;=Ferien!$D$11),AND(V33&gt;=Ferien!$C$12,V33&lt;=Ferien!$D$12),AND(V33&gt;=Ferien!$C$13,V33&lt;=Ferien!$D$13),AND(V33&gt;=Ferien!$C$14,V33&lt;=Ferien!$D$14),AND(V33&gt;=Ferien!$C$15,V33&lt;=Ferien!$D$15),AND(V33&gt;=Ferien!$C$16,V33&lt;=Ferien!$D$16),AND(V33&gt;=Ferien!$C$17,V33&lt;=Ferien!$D$17),AND(V33&gt;=Ferien!$C$18,V33&lt;=Ferien!$D$18),AND(V33&gt;=Ferien!$C$19,V33&lt;=Ferien!$D$19),AND(V33&gt;=Ferien!$C$20,V33&lt;=Ferien!$D$20),AND(V33&gt;=Ferien!$C$21,V33&lt;=Ferien!$D$21))),1,0)</f>
        <v>1</v>
      </c>
      <c r="AA33" s="250">
        <f t="shared" ca="1" si="9"/>
        <v>45473</v>
      </c>
      <c r="AB33" s="573" t="str">
        <f t="shared" ca="1" si="10"/>
        <v/>
      </c>
      <c r="AC33" s="317" t="str">
        <f ca="1">IFERROR(VLOOKUP(AA33,Mond!$B$3:$C$59,2,0),"")</f>
        <v/>
      </c>
      <c r="AD33" s="302" t="str">
        <f ca="1">IFERROR(IF(VLOOKUP(AA33,Gießtage!$L$8:$L$98,1,0),1,0),"")</f>
        <v/>
      </c>
      <c r="AE33" s="251">
        <f ca="1">IF(AND(OR(AND(AA33&gt;=Ferien!$C$11,AA33&lt;=Ferien!$D$11),AND(AA33&gt;=Ferien!$C$12,AA33&lt;=Ferien!$D$12),AND(AA33&gt;=Ferien!$C$13,AA33&lt;=Ferien!$D$13),AND(AA33&gt;=Ferien!$C$14,AA33&lt;=Ferien!$D$14),AND(AA33&gt;=Ferien!$C$15,AA33&lt;=Ferien!$D$15),AND(AA33&gt;=Ferien!$C$16,AA33&lt;=Ferien!$D$16),AND(AA33&gt;=Ferien!$C$17,AA33&lt;=Ferien!$D$17),AND(AA33&gt;=Ferien!$C$18,AA33&lt;=Ferien!$D$18),AND(AA33&gt;=Ferien!$C$19,AA33&lt;=Ferien!$D$19),AND(AA33&gt;=Ferien!$C$20,AA33&lt;=Ferien!$D$20),AND(AA33&gt;=Ferien!$C$21,AA33&lt;=Ferien!$D$21))),1,0)</f>
        <v>0</v>
      </c>
      <c r="AF33" s="250">
        <f t="shared" ca="1" si="11"/>
        <v>45503</v>
      </c>
      <c r="AG33" s="573" t="str">
        <f t="shared" ca="1" si="12"/>
        <v/>
      </c>
      <c r="AH33" s="317" t="str">
        <f ca="1">IFERROR(VLOOKUP(AF33,Mond!$B$3:$C$59,2,0),"")</f>
        <v/>
      </c>
      <c r="AI33" s="302" t="str">
        <f ca="1">IFERROR(IF(VLOOKUP(AF33,Gießtage!$L$8:$L$98,1,0),1,0),"")</f>
        <v/>
      </c>
      <c r="AJ33" s="251">
        <f ca="1">IF(AND(OR(AND(AF33&gt;=Ferien!$C$11,AF33&lt;=Ferien!$D$11),AND(AF33&gt;=Ferien!$C$12,AF33&lt;=Ferien!$D$12),AND(AF33&gt;=Ferien!$C$13,AF33&lt;=Ferien!$D$13),AND(AF33&gt;=Ferien!$C$14,AF33&lt;=Ferien!$D$14),AND(AF33&gt;=Ferien!$C$15,AF33&lt;=Ferien!$D$15),AND(AF33&gt;=Ferien!$C$16,AF33&lt;=Ferien!$D$16),AND(AF33&gt;=Ferien!$C$17,AF33&lt;=Ferien!$D$17),AND(AF33&gt;=Ferien!$C$18,AF33&lt;=Ferien!$D$18),AND(AF33&gt;=Ferien!$C$19,AF33&lt;=Ferien!$D$19),AND(AF33&gt;=Ferien!$C$20,AF33&lt;=Ferien!$D$20),AND(AF33&gt;=Ferien!$C$21,AF33&lt;=Ferien!$D$21))),1,0)</f>
        <v>1</v>
      </c>
      <c r="AK33" s="250">
        <f t="shared" ca="1" si="13"/>
        <v>45534</v>
      </c>
      <c r="AL33" s="573" t="str">
        <f t="shared" ca="1" si="14"/>
        <v>{</v>
      </c>
      <c r="AM33" s="317" t="str">
        <f ca="1">IFERROR(VLOOKUP(AK33,Mond!$B$3:$C$59,2,0),"")</f>
        <v/>
      </c>
      <c r="AN33" s="302">
        <f ca="1">IFERROR(IF(VLOOKUP(AK33,Gießtage!$L$8:$L$98,1,0),1,0),"")</f>
        <v>1</v>
      </c>
      <c r="AO33" s="251">
        <f ca="1">IF(AND(OR(AND(AK33&gt;=Ferien!$C$11,AK33&lt;=Ferien!$D$11),AND(AK33&gt;=Ferien!$C$12,AK33&lt;=Ferien!$D$12),AND(AK33&gt;=Ferien!$C$13,AK33&lt;=Ferien!$D$13),AND(AK33&gt;=Ferien!$C$14,AK33&lt;=Ferien!$D$14),AND(AK33&gt;=Ferien!$C$15,AK33&lt;=Ferien!$D$15),AND(AK33&gt;=Ferien!$C$16,AK33&lt;=Ferien!$D$16),AND(AK33&gt;=Ferien!$C$17,AK33&lt;=Ferien!$D$17),AND(AK33&gt;=Ferien!$C$18,AK33&lt;=Ferien!$D$18),AND(AK33&gt;=Ferien!$C$19,AK33&lt;=Ferien!$D$19),AND(AK33&gt;=Ferien!$C$20,AK33&lt;=Ferien!$D$20),AND(AK33&gt;=Ferien!$C$21,AK33&lt;=Ferien!$D$21))),1,0)</f>
        <v>1</v>
      </c>
      <c r="AP33" s="250">
        <f t="shared" ca="1" si="15"/>
        <v>45565</v>
      </c>
      <c r="AQ33" s="573" t="str">
        <f t="shared" ca="1" si="16"/>
        <v/>
      </c>
      <c r="AR33" s="317" t="str">
        <f ca="1">IFERROR(VLOOKUP(AP33,Mond!$B$3:$C$59,2,0),"")</f>
        <v/>
      </c>
      <c r="AS33" s="302" t="str">
        <f ca="1">IFERROR(IF(VLOOKUP(AP33,Gießtage!$L$8:$L$98,1,0),1,0),"")</f>
        <v/>
      </c>
      <c r="AT33" s="251">
        <f ca="1">IF(AND(OR(AND(AP33&gt;=Ferien!$C$11,AP33&lt;=Ferien!$D$11),AND(AP33&gt;=Ferien!$C$12,AP33&lt;=Ferien!$D$12),AND(AP33&gt;=Ferien!$C$13,AP33&lt;=Ferien!$D$13),AND(AP33&gt;=Ferien!$C$14,AP33&lt;=Ferien!$D$14),AND(AP33&gt;=Ferien!$C$15,AP33&lt;=Ferien!$D$15),AND(AP33&gt;=Ferien!$C$16,AP33&lt;=Ferien!$D$16),AND(AP33&gt;=Ferien!$C$17,AP33&lt;=Ferien!$D$17),AND(AP33&gt;=Ferien!$C$18,AP33&lt;=Ferien!$D$18),AND(AP33&gt;=Ferien!$C$19,AP33&lt;=Ferien!$D$19),AND(AP33&gt;=Ferien!$C$20,AP33&lt;=Ferien!$D$20),AND(AP33&gt;=Ferien!$C$21,AP33&lt;=Ferien!$D$21))),1,0)</f>
        <v>0</v>
      </c>
      <c r="AU33" s="250">
        <f t="shared" ca="1" si="17"/>
        <v>45595</v>
      </c>
      <c r="AV33" s="573" t="str">
        <f t="shared" ca="1" si="18"/>
        <v/>
      </c>
      <c r="AW33" s="317" t="str">
        <f ca="1">IFERROR(VLOOKUP(AU33,Mond!$B$3:$C$59,2,0),"")</f>
        <v/>
      </c>
      <c r="AX33" s="302" t="str">
        <f ca="1">IFERROR(IF(VLOOKUP(AU33,Gießtage!$L$8:$L$98,1,0),1,0),"")</f>
        <v/>
      </c>
      <c r="AY33" s="251">
        <f ca="1">IF(AND(OR(AND(AU33&gt;=Ferien!$C$11,AU33&lt;=Ferien!$D$11),AND(AU33&gt;=Ferien!$C$12,AU33&lt;=Ferien!$D$12),AND(AU33&gt;=Ferien!$C$13,AU33&lt;=Ferien!$D$13),AND(AU33&gt;=Ferien!$C$14,AU33&lt;=Ferien!$D$14),AND(AU33&gt;=Ferien!$C$15,AU33&lt;=Ferien!$D$15),AND(AU33&gt;=Ferien!$C$16,AU33&lt;=Ferien!$D$16),AND(AU33&gt;=Ferien!$C$17,AU33&lt;=Ferien!$D$17),AND(AU33&gt;=Ferien!$C$18,AU33&lt;=Ferien!$D$18),AND(AU33&gt;=Ferien!$C$19,AU33&lt;=Ferien!$D$19),AND(AU33&gt;=Ferien!$C$20,AU33&lt;=Ferien!$D$20),AND(AU33&gt;=Ferien!$C$21,AU33&lt;=Ferien!$D$21))),1,0)</f>
        <v>1</v>
      </c>
      <c r="AZ33" s="250">
        <f t="shared" ca="1" si="19"/>
        <v>45626</v>
      </c>
      <c r="BA33" s="573" t="str">
        <f t="shared" ca="1" si="20"/>
        <v>{</v>
      </c>
      <c r="BB33" s="317" t="str">
        <f ca="1">IFERROR(VLOOKUP(AZ33,Mond!$B$3:$C$59,2,0),"")</f>
        <v/>
      </c>
      <c r="BC33" s="302">
        <f ca="1">IFERROR(IF(VLOOKUP(AZ33,Gießtage!$L$8:$L$98,1,0),1,0),"")</f>
        <v>1</v>
      </c>
      <c r="BD33" s="251">
        <f ca="1">IF(AND(OR(AND(AZ33&gt;=Ferien!$C$11,AZ33&lt;=Ferien!$D$11),AND(AZ33&gt;=Ferien!$C$12,AZ33&lt;=Ferien!$D$12),AND(AZ33&gt;=Ferien!$C$13,AZ33&lt;=Ferien!$D$13),AND(AZ33&gt;=Ferien!$C$14,AZ33&lt;=Ferien!$D$14),AND(AZ33&gt;=Ferien!$C$15,AZ33&lt;=Ferien!$D$15),AND(AZ33&gt;=Ferien!$C$16,AZ33&lt;=Ferien!$D$16),AND(AZ33&gt;=Ferien!$C$17,AZ33&lt;=Ferien!$D$17),AND(AZ33&gt;=Ferien!$C$18,AZ33&lt;=Ferien!$D$18),AND(AZ33&gt;=Ferien!$C$19,AZ33&lt;=Ferien!$D$19),AND(AZ33&gt;=Ferien!$C$20,AZ33&lt;=Ferien!$D$20),AND(AZ33&gt;=Ferien!$C$21,AZ33&lt;=Ferien!$D$21))),1,0)</f>
        <v>0</v>
      </c>
      <c r="BE33" s="250">
        <f t="shared" ca="1" si="21"/>
        <v>45656</v>
      </c>
      <c r="BF33" s="573" t="str">
        <f t="shared" ca="1" si="22"/>
        <v/>
      </c>
      <c r="BG33" s="317" t="str">
        <f ca="1">IFERROR(VLOOKUP(BE33,Mond!$B$3:$C$59,2,0),"")</f>
        <v>0</v>
      </c>
      <c r="BH33" s="302" t="str">
        <f ca="1">IFERROR(IF(VLOOKUP(BE33,Gießtage!$L$8:$L$98,1,0),1,0),"")</f>
        <v/>
      </c>
      <c r="BI33" s="252">
        <f ca="1">IF(AND(OR(AND(BE33&gt;=Ferien!$C$11,BE33&lt;=Ferien!$D$11),AND(BE33&gt;=Ferien!$C$12,BE33&lt;=Ferien!$D$12),AND(BE33&gt;=Ferien!$C$13,BE33&lt;=Ferien!$D$13),AND(BE33&gt;=Ferien!$C$14,BE33&lt;=Ferien!$D$14),AND(BE33&gt;=Ferien!$C$15,BE33&lt;=Ferien!$D$15),AND(BE33&gt;=Ferien!$C$16,BE33&lt;=Ferien!$D$16),AND(BE33&gt;=Ferien!$C$17,BE33&lt;=Ferien!$D$17),AND(BE33&gt;=Ferien!$C$18,BE33&lt;=Ferien!$D$18),AND(BE33&gt;=Ferien!$C$19,BE33&lt;=Ferien!$D$19),AND(BE33&gt;=Ferien!$C$20,BE33&lt;=Ferien!$D$20),AND(BE33&gt;=Ferien!$C$21,BE33&lt;=Ferien!$D$21))),1,0)</f>
        <v>1</v>
      </c>
      <c r="BJ33" s="687" t="s">
        <v>263</v>
      </c>
      <c r="BK33" s="688"/>
      <c r="BL33" s="238"/>
      <c r="BM33" s="238"/>
      <c r="BN33" s="238"/>
      <c r="BO33" s="238"/>
      <c r="BT33" s="238"/>
      <c r="BU33" s="238"/>
      <c r="BV33" s="238"/>
      <c r="BW33" s="238"/>
      <c r="BX33" s="238"/>
      <c r="BY33" s="238"/>
    </row>
    <row r="34" spans="2:77" ht="19.5" customHeight="1" thickBot="1">
      <c r="B34" s="328">
        <f t="shared" ca="1" si="0"/>
        <v>45322</v>
      </c>
      <c r="C34" s="575" t="str">
        <f t="shared" ca="1" si="1"/>
        <v/>
      </c>
      <c r="D34" s="330" t="str">
        <f ca="1">IFERROR(VLOOKUP(B34,Mond!$B$3:$C$59,2,0),"")</f>
        <v/>
      </c>
      <c r="E34" s="331" t="str">
        <f ca="1">IFERROR(IF(VLOOKUP(B34,Gießtage!$L$8:$L$98,1,0),1,0),"")</f>
        <v/>
      </c>
      <c r="F34" s="332">
        <f ca="1">IF(AND(OR(AND(B34&gt;=Ferien!$C$11,B34&lt;=Ferien!$D$11),AND(B34&gt;=Ferien!$C$12,B34&lt;=Ferien!$D$12),AND(B34&gt;=Ferien!$C$13,B34&lt;=Ferien!$D$13),AND(B34&gt;=Ferien!$C$14,B34&lt;=Ferien!$D$14),AND(B34&gt;=Ferien!$C$15,B34&lt;=Ferien!$D$15),AND(B34&gt;=Ferien!$C$16,B34&lt;=Ferien!$D$16),AND(B34&gt;=Ferien!$C$17,B34&lt;=Ferien!$D$17),AND(B34&gt;=Ferien!$C$18,B34&lt;=Ferien!$D$18),AND(B34&gt;=Ferien!$C$19,B34&lt;=Ferien!$D$19),AND(B34&gt;=Ferien!$C$20,B34&lt;=Ferien!$D$20),AND(B34&gt;=Ferien!$C$21,B34&lt;=Ferien!$D$21))),1,0)</f>
        <v>0</v>
      </c>
      <c r="G34" s="328"/>
      <c r="H34" s="329" t="str">
        <f t="shared" ca="1" si="36"/>
        <v/>
      </c>
      <c r="I34" s="333" t="str">
        <f ca="1">IFERROR(IF(VLOOKUP(G34,Gießtage!$L$8:$L$98,1,0),1,0),"")</f>
        <v/>
      </c>
      <c r="J34" s="331"/>
      <c r="K34" s="332">
        <f>IF(AND(OR(AND(G34&gt;=Ferien!$C$11,G34&lt;=Ferien!$D$11),AND(G34&gt;=Ferien!$C$12,G34&lt;=Ferien!$D$12),AND(G34&gt;=Ferien!$C$13,G34&lt;=Ferien!$D$13),AND(G34&gt;=Ferien!$C$14,G34&lt;=Ferien!$D$14),AND(G34&gt;=Ferien!$C$15,G34&lt;=Ferien!$D$15),AND(G34&gt;=Ferien!$C$16,G34&lt;=Ferien!$D$16),AND(G34&gt;=Ferien!$C$17,G34&lt;=Ferien!$D$17))),1,0)</f>
        <v>0</v>
      </c>
      <c r="L34" s="328">
        <f t="shared" ca="1" si="3"/>
        <v>45382</v>
      </c>
      <c r="M34" s="575" t="str">
        <f t="shared" ca="1" si="4"/>
        <v/>
      </c>
      <c r="N34" s="330" t="str">
        <f ca="1">IFERROR(VLOOKUP(L34,Mond!$B$3:$C$59,2,0),"")</f>
        <v/>
      </c>
      <c r="O34" s="331" t="str">
        <f ca="1">IFERROR(IF(VLOOKUP(L34,Gießtage!$L$8:$L$98,1,0),1,0),"")</f>
        <v/>
      </c>
      <c r="P34" s="332">
        <f ca="1">IF(AND(OR(AND(L34&gt;=Ferien!$C$11,L34&lt;=Ferien!$D$11),AND(L34&gt;=Ferien!$C$12,L34&lt;=Ferien!$D$12),AND(L34&gt;=Ferien!$C$13,L34&lt;=Ferien!$D$13),AND(L34&gt;=Ferien!$C$14,L34&lt;=Ferien!$D$14),AND(L34&gt;=Ferien!$C$15,L34&lt;=Ferien!$D$15),AND(L34&gt;=Ferien!$C$16,L34&lt;=Ferien!$D$16),AND(L34&gt;=Ferien!$C$17,L34&lt;=Ferien!$D$17),AND(L34&gt;=Ferien!$C$18,L34&lt;=Ferien!$D$18),AND(L34&gt;=Ferien!$C$19,L34&lt;=Ferien!$D$19),AND(L34&gt;=Ferien!$C$20,L34&lt;=Ferien!$D$20),AND(L34&gt;=Ferien!$C$21,L34&lt;=Ferien!$D$21))),1,0)</f>
        <v>1</v>
      </c>
      <c r="Q34" s="328"/>
      <c r="R34" s="329" t="str">
        <f t="shared" ref="R34" ca="1" si="37">IF(S34=1,"d","")</f>
        <v/>
      </c>
      <c r="S34" s="331" t="str">
        <f ca="1">IFERROR(IF(VLOOKUP(Q34,Gießtage!$L$8:$L$98,1,0),1,0),"")</f>
        <v/>
      </c>
      <c r="T34" s="331"/>
      <c r="U34" s="332">
        <f>IF(AND(OR(AND(Q34&gt;=Ferien!$C$11,Q34&lt;=Ferien!$D$11),AND(Q34&gt;=Ferien!$C$12,Q34&lt;=Ferien!$D$12),AND(Q34&gt;=Ferien!$C$13,Q34&lt;=Ferien!$D$13),AND(Q34&gt;=Ferien!$C$14,Q34&lt;=Ferien!$D$14),AND(Q34&gt;=Ferien!$C$15,Q34&lt;=Ferien!$D$15),AND(Q34&gt;=Ferien!$C$16,Q34&lt;=Ferien!$D$16),AND(Q34&gt;=Ferien!$C$17,Q34&lt;=Ferien!$D$17))),1,0)</f>
        <v>0</v>
      </c>
      <c r="V34" s="328">
        <f t="shared" ca="1" si="7"/>
        <v>45443</v>
      </c>
      <c r="W34" s="575" t="str">
        <f t="shared" ca="1" si="8"/>
        <v>{</v>
      </c>
      <c r="X34" s="330" t="str">
        <f ca="1">IFERROR(VLOOKUP(V34,Mond!$B$3:$C$59,2,0),"")</f>
        <v/>
      </c>
      <c r="Y34" s="331">
        <f ca="1">IFERROR(IF(VLOOKUP(V34,Gießtage!$L$8:$L$98,1,0),1,0),"")</f>
        <v>1</v>
      </c>
      <c r="Z34" s="332">
        <f ca="1">IF(AND(OR(AND(V34&gt;=Ferien!$C$11,V34&lt;=Ferien!$D$11),AND(V34&gt;=Ferien!$C$12,V34&lt;=Ferien!$D$12),AND(V34&gt;=Ferien!$C$13,V34&lt;=Ferien!$D$13),AND(V34&gt;=Ferien!$C$14,V34&lt;=Ferien!$D$14),AND(V34&gt;=Ferien!$C$15,V34&lt;=Ferien!$D$15),AND(V34&gt;=Ferien!$C$16,V34&lt;=Ferien!$D$16),AND(V34&gt;=Ferien!$C$17,V34&lt;=Ferien!$D$17),AND(V34&gt;=Ferien!$C$18,V34&lt;=Ferien!$D$18),AND(V34&gt;=Ferien!$C$19,V34&lt;=Ferien!$D$19),AND(V34&gt;=Ferien!$C$20,V34&lt;=Ferien!$D$20),AND(V34&gt;=Ferien!$C$21,V34&lt;=Ferien!$D$21))),1,0)</f>
        <v>1</v>
      </c>
      <c r="AA34" s="328"/>
      <c r="AB34" s="329" t="str">
        <f t="shared" ref="AB34" ca="1" si="38">IF(AC34=1,"d","")</f>
        <v/>
      </c>
      <c r="AC34" s="331" t="str">
        <f ca="1">IFERROR(IF(VLOOKUP(AA34,Gießtage!$L$8:$L$98,1,0),1,0),"")</f>
        <v/>
      </c>
      <c r="AD34" s="331"/>
      <c r="AE34" s="332">
        <f>IF(AND(OR(AND(AA34&gt;=Ferien!$C$11,AA34&lt;=Ferien!$D$11),AND(AA34&gt;=Ferien!$C$12,AA34&lt;=Ferien!$D$12),AND(AA34&gt;=Ferien!$C$13,AA34&lt;=Ferien!$D$13),AND(AA34&gt;=Ferien!$C$14,AA34&lt;=Ferien!$D$14),AND(AA34&gt;=Ferien!$C$15,AA34&lt;=Ferien!$D$15),AND(AA34&gt;=Ferien!$C$16,AA34&lt;=Ferien!$D$16),AND(AA34&gt;=Ferien!$C$17,AA34&lt;=Ferien!$D$17),AND(AA34&gt;=Ferien!$C$18,AA34&lt;=Ferien!$D$18),AND(AA34&gt;=Ferien!$C$19,AA34&lt;=Ferien!$D$19),AND(AA34&gt;=Ferien!$C$20,AA34&lt;=Ferien!$D$20))),1,0)</f>
        <v>1</v>
      </c>
      <c r="AF34" s="328">
        <f t="shared" ca="1" si="11"/>
        <v>45504</v>
      </c>
      <c r="AG34" s="575" t="str">
        <f t="shared" ca="1" si="12"/>
        <v/>
      </c>
      <c r="AH34" s="330" t="str">
        <f ca="1">IFERROR(VLOOKUP(AF34,Mond!$B$3:$C$59,2,0),"")</f>
        <v/>
      </c>
      <c r="AI34" s="331" t="str">
        <f ca="1">IFERROR(IF(VLOOKUP(AF34,Gießtage!$L$8:$L$98,1,0),1,0),"")</f>
        <v/>
      </c>
      <c r="AJ34" s="332">
        <f ca="1">IF(AND(OR(AND(AF34&gt;=Ferien!$C$11,AF34&lt;=Ferien!$D$11),AND(AF34&gt;=Ferien!$C$12,AF34&lt;=Ferien!$D$12),AND(AF34&gt;=Ferien!$C$13,AF34&lt;=Ferien!$D$13),AND(AF34&gt;=Ferien!$C$14,AF34&lt;=Ferien!$D$14),AND(AF34&gt;=Ferien!$C$15,AF34&lt;=Ferien!$D$15),AND(AF34&gt;=Ferien!$C$16,AF34&lt;=Ferien!$D$16),AND(AF34&gt;=Ferien!$C$17,AF34&lt;=Ferien!$D$17),AND(AF34&gt;=Ferien!$C$18,AF34&lt;=Ferien!$D$18),AND(AF34&gt;=Ferien!$C$19,AF34&lt;=Ferien!$D$19),AND(AF34&gt;=Ferien!$C$20,AF34&lt;=Ferien!$D$20),AND(AF34&gt;=Ferien!$C$21,AF34&lt;=Ferien!$D$21))),1,0)</f>
        <v>1</v>
      </c>
      <c r="AK34" s="328">
        <f t="shared" ca="1" si="13"/>
        <v>45535</v>
      </c>
      <c r="AL34" s="575" t="str">
        <f t="shared" ca="1" si="14"/>
        <v/>
      </c>
      <c r="AM34" s="330" t="str">
        <f ca="1">IFERROR(VLOOKUP(AK34,Mond!$B$3:$C$59,2,0),"")</f>
        <v/>
      </c>
      <c r="AN34" s="331" t="str">
        <f ca="1">IFERROR(IF(VLOOKUP(AK34,Gießtage!$L$8:$L$98,1,0),1,0),"")</f>
        <v/>
      </c>
      <c r="AO34" s="332">
        <f ca="1">IF(AND(OR(AND(AK34&gt;=Ferien!$C$11,AK34&lt;=Ferien!$D$11),AND(AK34&gt;=Ferien!$C$12,AK34&lt;=Ferien!$D$12),AND(AK34&gt;=Ferien!$C$13,AK34&lt;=Ferien!$D$13),AND(AK34&gt;=Ferien!$C$14,AK34&lt;=Ferien!$D$14),AND(AK34&gt;=Ferien!$C$15,AK34&lt;=Ferien!$D$15),AND(AK34&gt;=Ferien!$C$16,AK34&lt;=Ferien!$D$16),AND(AK34&gt;=Ferien!$C$17,AK34&lt;=Ferien!$D$17),AND(AK34&gt;=Ferien!$C$18,AK34&lt;=Ferien!$D$18),AND(AK34&gt;=Ferien!$C$19,AK34&lt;=Ferien!$D$19),AND(AK34&gt;=Ferien!$C$20,AK34&lt;=Ferien!$D$20),AND(AK34&gt;=Ferien!$C$21,AK34&lt;=Ferien!$D$21))),1,0)</f>
        <v>1</v>
      </c>
      <c r="AP34" s="328"/>
      <c r="AQ34" s="329" t="str">
        <f t="shared" ref="AQ34" ca="1" si="39">IF(AR34=1,"d","")</f>
        <v/>
      </c>
      <c r="AR34" s="331" t="str">
        <f ca="1">IFERROR(IF(VLOOKUP(AP34,Gießtage!$L$8:$L$98,1,0),1,0),"")</f>
        <v/>
      </c>
      <c r="AS34" s="331"/>
      <c r="AT34" s="332">
        <f>IF(AND(OR(AND(AP34&gt;=Ferien!$C$11,AP34&lt;=Ferien!$D$11),AND(AP34&gt;=Ferien!$C$12,AP34&lt;=Ferien!$D$12),AND(AP34&gt;=Ferien!$C$13,AP34&lt;=Ferien!$D$13),AND(AP34&gt;=Ferien!$C$14,AP34&lt;=Ferien!$D$14),AND(AP34&gt;=Ferien!$C$15,AP34&lt;=Ferien!$D$15),AND(AP34&gt;=Ferien!$C$16,AP34&lt;=Ferien!$D$16),AND(AP34&gt;=Ferien!$C$17,AP34&lt;=Ferien!$D$17),AND(AP34&gt;=Ferien!$C$18,AP34&lt;=Ferien!$D$18),AND(AP34&gt;=Ferien!$C$19,AP34&lt;=Ferien!$D$19),AND(AP34&gt;=Ferien!$C$20,AP34&lt;=Ferien!$D$20))),1,0)</f>
        <v>1</v>
      </c>
      <c r="AU34" s="328">
        <f t="shared" ca="1" si="17"/>
        <v>45596</v>
      </c>
      <c r="AV34" s="575" t="str">
        <f t="shared" ca="1" si="18"/>
        <v/>
      </c>
      <c r="AW34" s="330" t="str">
        <f ca="1">IFERROR(VLOOKUP(AU34,Mond!$B$3:$C$59,2,0),"")</f>
        <v/>
      </c>
      <c r="AX34" s="331" t="str">
        <f ca="1">IFERROR(IF(VLOOKUP(AU34,Gießtage!$L$8:$L$98,1,0),1,0),"")</f>
        <v/>
      </c>
      <c r="AY34" s="332">
        <f ca="1">IF(AND(OR(AND(AU34&gt;=Ferien!$C$11,AU34&lt;=Ferien!$D$11),AND(AU34&gt;=Ferien!$C$12,AU34&lt;=Ferien!$D$12),AND(AU34&gt;=Ferien!$C$13,AU34&lt;=Ferien!$D$13),AND(AU34&gt;=Ferien!$C$14,AU34&lt;=Ferien!$D$14),AND(AU34&gt;=Ferien!$C$15,AU34&lt;=Ferien!$D$15),AND(AU34&gt;=Ferien!$C$16,AU34&lt;=Ferien!$D$16),AND(AU34&gt;=Ferien!$C$17,AU34&lt;=Ferien!$D$17),AND(AU34&gt;=Ferien!$C$18,AU34&lt;=Ferien!$D$18),AND(AU34&gt;=Ferien!$C$19,AU34&lt;=Ferien!$D$19),AND(AU34&gt;=Ferien!$C$20,AU34&lt;=Ferien!$D$20),AND(AU34&gt;=Ferien!$C$21,AU34&lt;=Ferien!$D$21))),1,0)</f>
        <v>0</v>
      </c>
      <c r="AZ34" s="328"/>
      <c r="BA34" s="329" t="str">
        <f t="shared" ref="BA34" ca="1" si="40">IF(BB34=1,"d","")</f>
        <v/>
      </c>
      <c r="BB34" s="331" t="str">
        <f ca="1">IFERROR(IF(VLOOKUP(AZ34,Gießtage!$L$8:$L$98,1,0),1,0),"")</f>
        <v/>
      </c>
      <c r="BC34" s="331"/>
      <c r="BD34" s="332">
        <f>IF(AND(OR(AND(AZ34&gt;=Ferien!$C$11,AZ34&lt;=Ferien!$D$11),AND(AZ34&gt;=Ferien!$C$12,AZ34&lt;=Ferien!$D$12),AND(AZ34&gt;=Ferien!$C$13,AZ34&lt;=Ferien!$D$13),AND(AZ34&gt;=Ferien!$C$14,AZ34&lt;=Ferien!$D$14),AND(AZ34&gt;=Ferien!$C$15,AZ34&lt;=Ferien!$D$15),AND(AZ34&gt;=Ferien!$C$16,AZ34&lt;=Ferien!$D$16),AND(AZ34&gt;=Ferien!$C$17,AZ34&lt;=Ferien!$D$17),AND(AZ34&gt;=Ferien!$C$18,AZ34&lt;=Ferien!$D$18),AND(AZ34&gt;=Ferien!$C$19,AZ34&lt;=Ferien!$D$19),AND(AZ34&gt;=Ferien!$C$20,AZ34&lt;=Ferien!$D$20))),1,0)</f>
        <v>1</v>
      </c>
      <c r="BE34" s="328">
        <f t="shared" ca="1" si="21"/>
        <v>45657</v>
      </c>
      <c r="BF34" s="575" t="str">
        <f t="shared" ca="1" si="22"/>
        <v/>
      </c>
      <c r="BG34" s="330" t="str">
        <f ca="1">IFERROR(VLOOKUP(BE34,Mond!$B$3:$C$59,2,0),"")</f>
        <v/>
      </c>
      <c r="BH34" s="302" t="str">
        <f ca="1">IFERROR(IF(VLOOKUP(BE34,Gießtage!$L$8:$L$98,1,0),1,0),"")</f>
        <v/>
      </c>
      <c r="BI34" s="252">
        <f ca="1">IF(AND(OR(AND(BE34&gt;=Ferien!$C$11,BE34&lt;=Ferien!$D$11),AND(BE34&gt;=Ferien!$C$12,BE34&lt;=Ferien!$D$12),AND(BE34&gt;=Ferien!$C$13,BE34&lt;=Ferien!$D$13),AND(BE34&gt;=Ferien!$C$14,BE34&lt;=Ferien!$D$14),AND(BE34&gt;=Ferien!$C$15,BE34&lt;=Ferien!$D$15),AND(BE34&gt;=Ferien!$C$16,BE34&lt;=Ferien!$D$16),AND(BE34&gt;=Ferien!$C$17,BE34&lt;=Ferien!$D$17),AND(BE34&gt;=Ferien!$C$18,BE34&lt;=Ferien!$D$18),AND(BE34&gt;=Ferien!$C$19,BE34&lt;=Ferien!$D$19),AND(BE34&gt;=Ferien!$C$20,BE34&lt;=Ferien!$D$20),AND(BE34&gt;=Ferien!$C$21,BE34&lt;=Ferien!$D$21))),1,0)</f>
        <v>1</v>
      </c>
      <c r="BJ34" s="687" t="s">
        <v>261</v>
      </c>
      <c r="BK34" s="688"/>
      <c r="BL34" s="238"/>
      <c r="BM34" s="238"/>
      <c r="BN34" s="238"/>
      <c r="BO34" s="238"/>
      <c r="BT34" s="238"/>
      <c r="BU34" s="238"/>
      <c r="BV34" s="238"/>
      <c r="BW34" s="238"/>
      <c r="BX34" s="238"/>
      <c r="BY34" s="238"/>
    </row>
    <row r="35" spans="2:77" ht="19.5" thickTop="1" thickBot="1">
      <c r="G35" s="256">
        <f ca="1">IF(DAY(DATE(YEAR(G31)+400,3,))=28,0,1)</f>
        <v>1</v>
      </c>
      <c r="H35" s="256"/>
      <c r="I35" s="256"/>
      <c r="J35" s="256"/>
      <c r="Q35" s="219"/>
      <c r="R35" s="219"/>
      <c r="S35" s="219"/>
      <c r="T35" s="219"/>
      <c r="V35" s="219"/>
      <c r="W35" s="219"/>
      <c r="X35" s="219"/>
      <c r="Y35" s="219"/>
      <c r="AO35" s="257"/>
      <c r="AP35" s="238"/>
      <c r="AQ35" s="238"/>
      <c r="AR35" s="238"/>
      <c r="AS35" s="238"/>
      <c r="AT35" s="258"/>
      <c r="AU35" s="238"/>
      <c r="AV35" s="238"/>
      <c r="AW35" s="238"/>
      <c r="AX35" s="238"/>
      <c r="AZ35" s="238"/>
      <c r="BA35" s="238"/>
      <c r="BB35" s="238"/>
      <c r="BC35" s="238"/>
      <c r="BE35" s="238"/>
      <c r="BF35" s="238"/>
      <c r="BG35" s="238"/>
      <c r="BH35" s="238"/>
      <c r="BJ35" s="685" t="s">
        <v>262</v>
      </c>
      <c r="BK35" s="686"/>
      <c r="BL35" s="238"/>
      <c r="BM35" s="238"/>
      <c r="BN35" s="238"/>
      <c r="BO35" s="238"/>
      <c r="BT35" s="238"/>
      <c r="BU35" s="238"/>
      <c r="BV35" s="238"/>
      <c r="BW35" s="238"/>
      <c r="BX35" s="238"/>
      <c r="BY35" s="238"/>
    </row>
    <row r="36" spans="2:77" ht="27.75" customHeight="1" thickBot="1">
      <c r="B36" s="798" t="str">
        <f>Ferien!C8</f>
        <v>Baden-Württemberg</v>
      </c>
      <c r="C36" s="799"/>
      <c r="D36" s="800"/>
      <c r="E36" s="799"/>
      <c r="F36" s="799"/>
      <c r="G36" s="799"/>
      <c r="H36" s="799"/>
      <c r="I36" s="799"/>
      <c r="J36" s="800"/>
      <c r="K36" s="799"/>
      <c r="L36" s="799"/>
      <c r="M36" s="799"/>
      <c r="N36" s="799"/>
      <c r="O36" s="800"/>
      <c r="P36" s="801"/>
      <c r="Q36" s="816" t="str">
        <f>"Feiertage in "&amp;B36</f>
        <v>Feiertage in Baden-Württemberg</v>
      </c>
      <c r="R36" s="817"/>
      <c r="S36" s="817"/>
      <c r="T36" s="818"/>
      <c r="U36" s="817"/>
      <c r="V36" s="817"/>
      <c r="W36" s="817"/>
      <c r="X36" s="817"/>
      <c r="Y36" s="818"/>
      <c r="Z36" s="817"/>
      <c r="AA36" s="817"/>
      <c r="AB36" s="817"/>
      <c r="AC36" s="817"/>
      <c r="AD36" s="818"/>
      <c r="AE36" s="817"/>
      <c r="AF36" s="819"/>
      <c r="AG36" s="830" t="s">
        <v>178</v>
      </c>
      <c r="AH36" s="831"/>
      <c r="AI36" s="831"/>
      <c r="AJ36" s="831"/>
      <c r="AK36" s="831"/>
      <c r="AL36" s="831"/>
      <c r="AM36" s="831"/>
      <c r="AN36" s="831"/>
      <c r="AO36" s="831"/>
      <c r="AP36" s="574" t="s">
        <v>220</v>
      </c>
      <c r="AQ36" s="827" t="str">
        <f>"Brückentage in "&amp;B36</f>
        <v>Brückentage in Baden-Württemberg</v>
      </c>
      <c r="AR36" s="828"/>
      <c r="AS36" s="828"/>
      <c r="AT36" s="828"/>
      <c r="AU36" s="828"/>
      <c r="AV36" s="828"/>
      <c r="AW36" s="828"/>
      <c r="AX36" s="828"/>
      <c r="AY36" s="828"/>
      <c r="AZ36" s="828"/>
      <c r="BA36" s="828"/>
      <c r="BB36" s="828"/>
      <c r="BC36" s="828"/>
      <c r="BD36" s="828"/>
      <c r="BE36" s="828"/>
      <c r="BF36" s="828"/>
      <c r="BG36" s="829"/>
      <c r="BH36" s="238"/>
      <c r="BJ36" s="238"/>
      <c r="BK36" s="238"/>
      <c r="BL36" s="238"/>
      <c r="BM36" s="238"/>
      <c r="BN36" s="238"/>
      <c r="BO36" s="238"/>
      <c r="BT36" s="238"/>
      <c r="BU36" s="238"/>
      <c r="BV36" s="238"/>
      <c r="BW36" s="238"/>
      <c r="BX36" s="238"/>
      <c r="BY36" s="238"/>
    </row>
    <row r="37" spans="2:77">
      <c r="F37" s="259"/>
      <c r="K37" s="256"/>
      <c r="Q37" s="219"/>
      <c r="R37" s="219"/>
      <c r="S37" s="219"/>
      <c r="T37" s="219"/>
      <c r="V37" s="219"/>
      <c r="W37" s="219"/>
      <c r="X37" s="219"/>
      <c r="Y37" s="219"/>
      <c r="AO37" s="257"/>
      <c r="AP37" s="238"/>
      <c r="AQ37" s="238"/>
      <c r="AR37" s="238"/>
      <c r="AS37" s="238"/>
      <c r="AT37" s="258"/>
      <c r="AU37" s="238"/>
      <c r="AV37" s="238"/>
      <c r="AW37" s="238"/>
      <c r="AX37" s="238"/>
      <c r="AZ37" s="238"/>
      <c r="BA37" s="238"/>
      <c r="BB37" s="238"/>
      <c r="BC37" s="238"/>
      <c r="BE37" s="238"/>
      <c r="BF37" s="238"/>
      <c r="BG37" s="238"/>
      <c r="BH37" s="238"/>
      <c r="BJ37" s="238"/>
      <c r="BK37" s="238"/>
      <c r="BL37" s="238"/>
      <c r="BM37" s="238"/>
      <c r="BN37" s="238"/>
      <c r="BO37" s="238"/>
      <c r="BT37" s="238"/>
      <c r="BU37" s="238"/>
      <c r="BV37" s="238"/>
      <c r="BW37" s="238"/>
      <c r="BX37" s="238"/>
      <c r="BY37" s="238"/>
    </row>
    <row r="38" spans="2:77">
      <c r="F38" s="259"/>
      <c r="K38" s="256"/>
      <c r="Q38" s="219"/>
      <c r="R38" s="219"/>
      <c r="S38" s="219"/>
      <c r="T38" s="219"/>
      <c r="V38" s="219"/>
      <c r="W38" s="219"/>
      <c r="X38" s="219"/>
      <c r="Y38" s="219"/>
      <c r="AO38" s="257"/>
      <c r="AP38" s="238"/>
      <c r="AQ38" s="238"/>
      <c r="AR38" s="238"/>
      <c r="AS38" s="238"/>
      <c r="AU38" s="238"/>
      <c r="AV38" s="238"/>
      <c r="AW38" s="238"/>
      <c r="AX38" s="238"/>
      <c r="AZ38" s="238"/>
      <c r="BA38" s="238"/>
      <c r="BB38" s="238"/>
      <c r="BC38" s="238"/>
      <c r="BE38" s="238"/>
      <c r="BF38" s="238"/>
      <c r="BG38" s="238"/>
      <c r="BH38" s="238"/>
      <c r="BJ38" s="238"/>
      <c r="BK38" s="238"/>
      <c r="BL38" s="238"/>
      <c r="BM38" s="238"/>
      <c r="BN38" s="238"/>
      <c r="BO38" s="238"/>
      <c r="BT38" s="238"/>
      <c r="BU38" s="238"/>
      <c r="BV38" s="238"/>
      <c r="BW38" s="238"/>
      <c r="BX38" s="238"/>
      <c r="BY38" s="238"/>
    </row>
    <row r="39" spans="2:77" ht="23.25">
      <c r="B39" s="260"/>
      <c r="C39" s="260"/>
      <c r="D39" s="260"/>
      <c r="E39" s="260"/>
      <c r="F39" s="261"/>
      <c r="K39" s="235"/>
      <c r="Q39" s="219"/>
      <c r="R39" s="219"/>
      <c r="S39" s="219"/>
      <c r="T39" s="219"/>
      <c r="AP39" s="238"/>
      <c r="AQ39" s="238"/>
      <c r="AR39" s="238"/>
      <c r="AS39" s="238"/>
      <c r="AU39" s="238"/>
      <c r="AV39" s="238"/>
      <c r="AW39" s="238"/>
      <c r="AX39" s="238"/>
      <c r="AZ39" s="238"/>
      <c r="BA39" s="238"/>
      <c r="BB39" s="238"/>
      <c r="BC39" s="238"/>
      <c r="BE39" s="238"/>
      <c r="BF39" s="238"/>
      <c r="BG39" s="238"/>
      <c r="BH39" s="238"/>
      <c r="BJ39" s="238"/>
      <c r="BK39" s="238"/>
      <c r="BL39" s="238"/>
      <c r="BM39" s="238"/>
      <c r="BN39" s="238"/>
      <c r="BO39" s="238"/>
      <c r="BT39" s="238"/>
      <c r="BU39" s="238"/>
      <c r="BV39" s="238"/>
      <c r="BW39" s="238"/>
      <c r="BX39" s="238"/>
      <c r="BY39" s="238"/>
    </row>
    <row r="40" spans="2:77" ht="27" customHeight="1">
      <c r="F40" s="235"/>
      <c r="K40" s="235"/>
      <c r="AP40" s="238"/>
      <c r="AQ40" s="238"/>
      <c r="AR40" s="238"/>
      <c r="AS40" s="238"/>
      <c r="AU40" s="238"/>
      <c r="AV40" s="238"/>
      <c r="AW40" s="238"/>
      <c r="AX40" s="238"/>
      <c r="AZ40" s="238"/>
      <c r="BA40" s="238"/>
      <c r="BB40" s="238"/>
      <c r="BC40" s="238"/>
      <c r="BE40" s="238"/>
      <c r="BF40" s="238"/>
      <c r="BG40" s="238"/>
      <c r="BH40" s="238"/>
      <c r="BJ40" s="238"/>
      <c r="BK40" s="238"/>
      <c r="BL40" s="238"/>
      <c r="BM40" s="238"/>
      <c r="BN40" s="238"/>
      <c r="BO40" s="238"/>
      <c r="BT40" s="238"/>
      <c r="BU40" s="238"/>
      <c r="BV40" s="238"/>
      <c r="BW40" s="238"/>
      <c r="BX40" s="238"/>
      <c r="BY40" s="238"/>
    </row>
    <row r="41" spans="2:77" ht="8.25" customHeight="1">
      <c r="F41" s="235"/>
      <c r="K41" s="235"/>
      <c r="AP41" s="238"/>
      <c r="AQ41" s="238"/>
      <c r="AR41" s="238"/>
      <c r="AS41" s="238"/>
      <c r="AU41" s="238"/>
      <c r="AV41" s="238"/>
      <c r="AW41" s="238"/>
      <c r="AX41" s="238"/>
      <c r="AZ41" s="238"/>
      <c r="BA41" s="238"/>
      <c r="BB41" s="238"/>
      <c r="BC41" s="238"/>
      <c r="BE41" s="238"/>
      <c r="BF41" s="238"/>
      <c r="BG41" s="238"/>
      <c r="BH41" s="238"/>
      <c r="BJ41" s="238"/>
      <c r="BK41" s="238"/>
      <c r="BL41" s="238"/>
      <c r="BM41" s="238"/>
      <c r="BN41" s="238"/>
      <c r="BO41" s="238"/>
      <c r="BT41" s="238"/>
      <c r="BU41" s="238"/>
      <c r="BV41" s="238"/>
      <c r="BW41" s="238"/>
      <c r="BX41" s="238"/>
      <c r="BY41" s="238"/>
    </row>
    <row r="42" spans="2:77">
      <c r="F42" s="235"/>
      <c r="K42" s="235"/>
      <c r="AP42" s="238"/>
      <c r="AQ42" s="238"/>
      <c r="AR42" s="238"/>
      <c r="AS42" s="238"/>
      <c r="AU42" s="238"/>
      <c r="AV42" s="238"/>
      <c r="AW42" s="238"/>
      <c r="AX42" s="238"/>
      <c r="AZ42" s="238"/>
      <c r="BA42" s="238"/>
      <c r="BB42" s="238"/>
      <c r="BC42" s="238"/>
      <c r="BE42" s="238"/>
      <c r="BF42" s="238"/>
      <c r="BG42" s="238"/>
      <c r="BH42" s="238"/>
      <c r="BJ42" s="238"/>
      <c r="BK42" s="238"/>
      <c r="BL42" s="238"/>
      <c r="BM42" s="238"/>
      <c r="BN42" s="238"/>
      <c r="BO42" s="238"/>
      <c r="BT42" s="238"/>
      <c r="BU42" s="238"/>
      <c r="BV42" s="238"/>
      <c r="BW42" s="238"/>
      <c r="BX42" s="238"/>
      <c r="BY42" s="238"/>
    </row>
    <row r="43" spans="2:77">
      <c r="F43" s="235"/>
      <c r="K43" s="235"/>
      <c r="AP43" s="238"/>
      <c r="AQ43" s="238"/>
      <c r="AR43" s="238"/>
      <c r="AS43" s="238"/>
      <c r="AU43" s="238"/>
      <c r="AV43" s="238"/>
      <c r="AW43" s="238"/>
      <c r="AX43" s="238"/>
      <c r="AZ43" s="238"/>
      <c r="BA43" s="238"/>
      <c r="BB43" s="238"/>
      <c r="BC43" s="238"/>
      <c r="BE43" s="238"/>
      <c r="BF43" s="238"/>
      <c r="BG43" s="238"/>
      <c r="BH43" s="238"/>
      <c r="BJ43" s="238"/>
      <c r="BK43" s="238"/>
      <c r="BL43" s="238"/>
      <c r="BM43" s="238"/>
      <c r="BN43" s="238"/>
      <c r="BO43" s="238"/>
      <c r="BT43" s="238"/>
      <c r="BU43" s="238"/>
      <c r="BV43" s="238"/>
      <c r="BW43" s="238"/>
      <c r="BX43" s="238"/>
      <c r="BY43" s="238"/>
    </row>
    <row r="44" spans="2:77">
      <c r="F44" s="235"/>
      <c r="K44" s="235"/>
      <c r="AP44" s="238"/>
      <c r="AQ44" s="238"/>
      <c r="AR44" s="238"/>
      <c r="AS44" s="238"/>
      <c r="AU44" s="238"/>
      <c r="AV44" s="238"/>
      <c r="AW44" s="238"/>
      <c r="AX44" s="238"/>
      <c r="AZ44" s="238"/>
      <c r="BA44" s="238"/>
      <c r="BB44" s="238"/>
      <c r="BC44" s="238"/>
      <c r="BE44" s="238"/>
      <c r="BF44" s="238"/>
      <c r="BG44" s="238"/>
      <c r="BH44" s="238"/>
      <c r="BJ44" s="238"/>
      <c r="BK44" s="238"/>
      <c r="BL44" s="238"/>
      <c r="BM44" s="238"/>
      <c r="BN44" s="238"/>
      <c r="BO44" s="238"/>
      <c r="BT44" s="238"/>
      <c r="BU44" s="238"/>
      <c r="BV44" s="238"/>
      <c r="BW44" s="238"/>
      <c r="BX44" s="238"/>
      <c r="BY44" s="238"/>
    </row>
    <row r="45" spans="2:77">
      <c r="F45" s="235"/>
      <c r="K45" s="235"/>
      <c r="AP45" s="238"/>
      <c r="AQ45" s="238"/>
      <c r="AR45" s="238"/>
      <c r="AS45" s="238"/>
      <c r="AU45" s="238"/>
      <c r="AV45" s="238"/>
      <c r="AW45" s="238"/>
      <c r="AX45" s="238"/>
      <c r="AZ45" s="238"/>
      <c r="BA45" s="238"/>
      <c r="BB45" s="238"/>
      <c r="BC45" s="238"/>
      <c r="BE45" s="238"/>
      <c r="BF45" s="238"/>
      <c r="BG45" s="238"/>
      <c r="BH45" s="238"/>
      <c r="BJ45" s="238"/>
      <c r="BK45" s="238"/>
      <c r="BL45" s="238"/>
      <c r="BM45" s="238"/>
      <c r="BN45" s="238"/>
      <c r="BO45" s="238"/>
      <c r="BT45" s="238"/>
      <c r="BU45" s="238"/>
      <c r="BV45" s="238"/>
      <c r="BW45" s="238"/>
      <c r="BX45" s="238"/>
      <c r="BY45" s="238"/>
    </row>
    <row r="46" spans="2:77" ht="15.75">
      <c r="F46" s="235"/>
      <c r="K46" s="235"/>
      <c r="AF46" s="820"/>
      <c r="AG46" s="820"/>
      <c r="AH46" s="820"/>
      <c r="AI46" s="820"/>
      <c r="AJ46" s="820"/>
      <c r="AK46" s="820"/>
      <c r="AL46" s="295"/>
      <c r="AM46" s="295"/>
      <c r="AN46" s="295"/>
      <c r="AP46" s="238"/>
      <c r="AQ46" s="238"/>
      <c r="AR46" s="238"/>
      <c r="AS46" s="238"/>
      <c r="AU46" s="238"/>
      <c r="AV46" s="238"/>
      <c r="AW46" s="238"/>
      <c r="AX46" s="238"/>
      <c r="AZ46" s="238"/>
      <c r="BA46" s="238"/>
      <c r="BB46" s="238"/>
      <c r="BC46" s="238"/>
      <c r="BE46" s="238"/>
      <c r="BF46" s="238"/>
      <c r="BG46" s="238"/>
      <c r="BH46" s="238"/>
      <c r="BJ46" s="238"/>
      <c r="BK46" s="238"/>
      <c r="BL46" s="238"/>
      <c r="BM46" s="238"/>
      <c r="BN46" s="238"/>
      <c r="BO46" s="238"/>
      <c r="BT46" s="238"/>
      <c r="BU46" s="238"/>
      <c r="BV46" s="238"/>
      <c r="BW46" s="238"/>
      <c r="BX46" s="238"/>
      <c r="BY46" s="238"/>
    </row>
    <row r="47" spans="2:77">
      <c r="F47" s="235"/>
      <c r="K47" s="235"/>
      <c r="AF47" s="238"/>
      <c r="AG47" s="238"/>
      <c r="AH47" s="238"/>
      <c r="AI47" s="238"/>
      <c r="AK47" s="238"/>
      <c r="AL47" s="238"/>
      <c r="AM47" s="238"/>
      <c r="AN47" s="238"/>
      <c r="AP47" s="238"/>
      <c r="AQ47" s="238"/>
      <c r="AR47" s="238"/>
      <c r="AS47" s="238"/>
      <c r="AU47" s="238"/>
      <c r="AV47" s="238"/>
      <c r="AW47" s="238"/>
      <c r="AX47" s="238"/>
      <c r="AZ47" s="238"/>
      <c r="BA47" s="238"/>
      <c r="BB47" s="238"/>
      <c r="BC47" s="238"/>
      <c r="BE47" s="238"/>
      <c r="BF47" s="238"/>
      <c r="BG47" s="238"/>
      <c r="BH47" s="238"/>
      <c r="BJ47" s="238"/>
      <c r="BK47" s="238"/>
      <c r="BL47" s="238"/>
      <c r="BM47" s="238"/>
      <c r="BN47" s="238"/>
      <c r="BO47" s="238"/>
      <c r="BT47" s="238"/>
      <c r="BU47" s="238"/>
      <c r="BV47" s="238"/>
      <c r="BW47" s="238"/>
      <c r="BX47" s="238"/>
      <c r="BY47" s="238"/>
    </row>
    <row r="48" spans="2:77" ht="15.75">
      <c r="F48" s="235"/>
      <c r="K48" s="235"/>
      <c r="AF48" s="813"/>
      <c r="AG48" s="813"/>
      <c r="AH48" s="813"/>
      <c r="AI48" s="813"/>
      <c r="AJ48" s="813"/>
      <c r="AK48" s="262"/>
      <c r="AL48" s="262"/>
      <c r="AM48" s="262"/>
      <c r="AN48" s="262"/>
      <c r="AP48" s="238"/>
      <c r="AQ48" s="238"/>
      <c r="AR48" s="238"/>
      <c r="AS48" s="238"/>
      <c r="AU48" s="238"/>
      <c r="AV48" s="238"/>
      <c r="AW48" s="238"/>
      <c r="AX48" s="238"/>
      <c r="AZ48" s="238"/>
      <c r="BA48" s="238"/>
      <c r="BB48" s="238"/>
      <c r="BC48" s="238"/>
      <c r="BE48" s="238"/>
      <c r="BF48" s="238"/>
      <c r="BG48" s="238"/>
      <c r="BH48" s="238"/>
      <c r="BJ48" s="238"/>
      <c r="BK48" s="238"/>
      <c r="BL48" s="238"/>
      <c r="BM48" s="238"/>
      <c r="BN48" s="238"/>
      <c r="BO48" s="238"/>
      <c r="BT48" s="238"/>
      <c r="BU48" s="238"/>
      <c r="BV48" s="238"/>
      <c r="BW48" s="238"/>
      <c r="BX48" s="238"/>
      <c r="BY48" s="238"/>
    </row>
    <row r="49" spans="6:40" ht="15.75">
      <c r="F49" s="235"/>
      <c r="K49" s="235"/>
      <c r="AF49" s="815"/>
      <c r="AG49" s="815"/>
      <c r="AH49" s="815"/>
      <c r="AI49" s="815"/>
      <c r="AJ49" s="815"/>
      <c r="AK49" s="262"/>
      <c r="AL49" s="262"/>
      <c r="AM49" s="262"/>
      <c r="AN49" s="262"/>
    </row>
    <row r="50" spans="6:40" ht="15.75">
      <c r="F50" s="235"/>
      <c r="K50" s="235"/>
      <c r="AF50" s="815"/>
      <c r="AG50" s="815"/>
      <c r="AH50" s="815"/>
      <c r="AI50" s="815"/>
      <c r="AJ50" s="815"/>
      <c r="AK50" s="262"/>
      <c r="AL50" s="262"/>
      <c r="AM50" s="262"/>
      <c r="AN50" s="262"/>
    </row>
    <row r="51" spans="6:40" ht="15.75">
      <c r="F51" s="235"/>
      <c r="K51" s="235"/>
      <c r="AF51" s="815"/>
      <c r="AG51" s="815"/>
      <c r="AH51" s="815"/>
      <c r="AI51" s="815"/>
      <c r="AJ51" s="815"/>
      <c r="AK51" s="262"/>
      <c r="AL51" s="262"/>
      <c r="AM51" s="262"/>
      <c r="AN51" s="262"/>
    </row>
    <row r="52" spans="6:40" ht="15.75">
      <c r="F52" s="235"/>
      <c r="K52" s="235"/>
      <c r="AF52" s="813"/>
      <c r="AG52" s="813"/>
      <c r="AH52" s="813"/>
      <c r="AI52" s="813"/>
      <c r="AJ52" s="813"/>
      <c r="AK52" s="262"/>
      <c r="AL52" s="262"/>
      <c r="AM52" s="262"/>
      <c r="AN52" s="262"/>
    </row>
    <row r="53" spans="6:40" ht="15.75">
      <c r="F53" s="235"/>
      <c r="K53" s="235"/>
      <c r="AF53" s="815"/>
      <c r="AG53" s="815"/>
      <c r="AH53" s="815"/>
      <c r="AI53" s="815"/>
      <c r="AJ53" s="815"/>
      <c r="AK53" s="262"/>
      <c r="AL53" s="262"/>
      <c r="AM53" s="262"/>
      <c r="AN53" s="262"/>
    </row>
    <row r="54" spans="6:40" ht="15.75">
      <c r="F54" s="235"/>
      <c r="K54" s="235"/>
      <c r="AF54" s="815"/>
      <c r="AG54" s="815"/>
      <c r="AH54" s="815"/>
      <c r="AI54" s="815"/>
      <c r="AJ54" s="815"/>
      <c r="AK54" s="262"/>
      <c r="AL54" s="262"/>
      <c r="AM54" s="262"/>
      <c r="AN54" s="262"/>
    </row>
    <row r="55" spans="6:40" ht="15.75">
      <c r="F55" s="235"/>
      <c r="K55" s="235"/>
      <c r="AF55" s="815"/>
      <c r="AG55" s="815"/>
      <c r="AH55" s="815"/>
      <c r="AI55" s="815"/>
      <c r="AJ55" s="815"/>
      <c r="AK55" s="262"/>
      <c r="AL55" s="262"/>
      <c r="AM55" s="262"/>
      <c r="AN55" s="262"/>
    </row>
    <row r="56" spans="6:40" ht="15.75">
      <c r="F56" s="235"/>
      <c r="K56" s="235"/>
      <c r="AF56" s="815"/>
      <c r="AG56" s="815"/>
      <c r="AH56" s="815"/>
      <c r="AI56" s="815"/>
      <c r="AJ56" s="815"/>
      <c r="AK56" s="262"/>
      <c r="AL56" s="262"/>
      <c r="AM56" s="262"/>
      <c r="AN56" s="262"/>
    </row>
    <row r="57" spans="6:40" ht="15.75">
      <c r="F57" s="235"/>
      <c r="K57" s="235"/>
      <c r="AF57" s="813"/>
      <c r="AG57" s="813"/>
      <c r="AH57" s="813"/>
      <c r="AI57" s="813"/>
      <c r="AJ57" s="813"/>
      <c r="AK57" s="262"/>
      <c r="AL57" s="262"/>
      <c r="AM57" s="262"/>
      <c r="AN57" s="262"/>
    </row>
    <row r="58" spans="6:40" ht="15.75">
      <c r="F58" s="235"/>
      <c r="K58" s="235"/>
      <c r="AF58" s="813"/>
      <c r="AG58" s="813"/>
      <c r="AH58" s="813"/>
      <c r="AI58" s="813"/>
      <c r="AJ58" s="813"/>
      <c r="AK58" s="262"/>
      <c r="AL58" s="262"/>
      <c r="AM58" s="262"/>
      <c r="AN58" s="262"/>
    </row>
    <row r="59" spans="6:40" ht="15.75">
      <c r="F59" s="235"/>
      <c r="K59" s="235"/>
      <c r="AF59" s="813"/>
      <c r="AG59" s="813"/>
      <c r="AH59" s="813"/>
      <c r="AI59" s="813"/>
      <c r="AJ59" s="813"/>
      <c r="AK59" s="262"/>
      <c r="AL59" s="262"/>
      <c r="AM59" s="262"/>
      <c r="AN59" s="262"/>
    </row>
    <row r="60" spans="6:40" ht="15.75">
      <c r="F60" s="235"/>
      <c r="K60" s="235"/>
      <c r="AF60" s="293"/>
      <c r="AG60" s="293"/>
      <c r="AH60" s="293"/>
      <c r="AI60" s="293"/>
      <c r="AJ60" s="263"/>
      <c r="AK60" s="262"/>
      <c r="AL60" s="262"/>
      <c r="AM60" s="262"/>
      <c r="AN60" s="262"/>
    </row>
    <row r="61" spans="6:40" ht="15.75">
      <c r="F61" s="235"/>
      <c r="K61" s="235"/>
      <c r="AF61" s="293"/>
      <c r="AG61" s="293"/>
      <c r="AH61" s="293"/>
      <c r="AI61" s="293"/>
      <c r="AJ61" s="263"/>
      <c r="AK61" s="262"/>
      <c r="AL61" s="262"/>
      <c r="AM61" s="262"/>
      <c r="AN61" s="262"/>
    </row>
    <row r="62" spans="6:40" ht="15.75">
      <c r="F62" s="235"/>
      <c r="K62" s="235"/>
      <c r="AF62" s="293"/>
      <c r="AG62" s="293"/>
      <c r="AH62" s="293"/>
      <c r="AI62" s="293"/>
      <c r="AJ62" s="263"/>
      <c r="AK62" s="262"/>
      <c r="AL62" s="262"/>
      <c r="AM62" s="262"/>
      <c r="AN62" s="262"/>
    </row>
    <row r="63" spans="6:40" ht="15.75">
      <c r="F63" s="235"/>
      <c r="K63" s="235"/>
      <c r="AF63" s="293"/>
      <c r="AG63" s="293"/>
      <c r="AH63" s="293"/>
      <c r="AI63" s="293"/>
      <c r="AJ63" s="263"/>
      <c r="AK63" s="262"/>
      <c r="AL63" s="262"/>
      <c r="AM63" s="262"/>
      <c r="AN63" s="262"/>
    </row>
    <row r="64" spans="6:40">
      <c r="F64" s="235"/>
      <c r="K64" s="235"/>
      <c r="AF64" s="238"/>
      <c r="AG64" s="238"/>
      <c r="AH64" s="238"/>
      <c r="AI64" s="238"/>
      <c r="AK64" s="238"/>
      <c r="AL64" s="238"/>
      <c r="AM64" s="238"/>
      <c r="AN64" s="238"/>
    </row>
    <row r="65" spans="6:40" ht="15.75">
      <c r="F65" s="235"/>
      <c r="K65" s="235"/>
      <c r="AF65" s="44"/>
      <c r="AG65" s="44"/>
      <c r="AH65" s="44"/>
      <c r="AI65" s="44"/>
      <c r="AJ65" s="294"/>
      <c r="AK65" s="47"/>
      <c r="AL65" s="47"/>
      <c r="AM65" s="47"/>
      <c r="AN65" s="47"/>
    </row>
    <row r="66" spans="6:40" ht="15.75">
      <c r="F66" s="235"/>
      <c r="K66" s="235"/>
      <c r="AF66" s="814"/>
      <c r="AG66" s="814"/>
      <c r="AH66" s="814"/>
      <c r="AI66" s="814"/>
      <c r="AJ66" s="814"/>
      <c r="AK66" s="117"/>
      <c r="AL66" s="117"/>
      <c r="AM66" s="117"/>
      <c r="AN66" s="117"/>
    </row>
    <row r="67" spans="6:40" ht="15.75">
      <c r="F67" s="235"/>
      <c r="K67" s="235"/>
      <c r="AF67" s="50"/>
      <c r="AG67" s="50"/>
      <c r="AH67" s="50"/>
      <c r="AI67" s="50"/>
    </row>
    <row r="68" spans="6:40" ht="15.75">
      <c r="F68" s="235"/>
      <c r="K68" s="235"/>
      <c r="AF68" s="50"/>
      <c r="AG68" s="50"/>
      <c r="AH68" s="50"/>
      <c r="AI68" s="50"/>
    </row>
    <row r="69" spans="6:40" ht="15.75">
      <c r="F69" s="235"/>
      <c r="K69" s="235"/>
      <c r="AF69" s="50"/>
      <c r="AG69" s="50"/>
      <c r="AH69" s="50"/>
      <c r="AI69" s="50"/>
    </row>
    <row r="70" spans="6:40">
      <c r="F70" s="235"/>
      <c r="K70" s="235"/>
    </row>
    <row r="71" spans="6:40">
      <c r="F71" s="235"/>
      <c r="K71" s="235"/>
    </row>
    <row r="72" spans="6:40">
      <c r="F72" s="235"/>
      <c r="K72" s="235"/>
    </row>
    <row r="73" spans="6:40">
      <c r="F73" s="259"/>
      <c r="K73" s="259"/>
      <c r="Q73" s="219"/>
      <c r="R73" s="219"/>
      <c r="S73" s="219"/>
      <c r="T73" s="219"/>
      <c r="V73" s="219"/>
      <c r="W73" s="219"/>
      <c r="X73" s="219"/>
      <c r="Y73" s="219"/>
    </row>
    <row r="74" spans="6:40">
      <c r="F74" s="259"/>
      <c r="K74" s="259"/>
      <c r="Q74" s="219"/>
      <c r="R74" s="219"/>
      <c r="S74" s="219"/>
      <c r="T74" s="219"/>
      <c r="V74" s="219"/>
      <c r="W74" s="219"/>
      <c r="X74" s="219"/>
      <c r="Y74" s="219"/>
    </row>
    <row r="75" spans="6:40">
      <c r="F75" s="264"/>
      <c r="K75" s="264"/>
      <c r="Q75" s="219"/>
      <c r="R75" s="219"/>
      <c r="S75" s="219"/>
      <c r="T75" s="219"/>
      <c r="V75" s="219"/>
      <c r="W75" s="219"/>
      <c r="X75" s="219"/>
      <c r="Y75" s="219"/>
    </row>
  </sheetData>
  <sheetProtection sheet="1" selectLockedCells="1"/>
  <mergeCells count="58">
    <mergeCell ref="AF49:AJ49"/>
    <mergeCell ref="AF50:AJ50"/>
    <mergeCell ref="AF51:AJ51"/>
    <mergeCell ref="BN5:BO5"/>
    <mergeCell ref="BN7:BO7"/>
    <mergeCell ref="BN8:BO8"/>
    <mergeCell ref="BJ9:BK9"/>
    <mergeCell ref="AF48:AJ48"/>
    <mergeCell ref="BJ10:BK10"/>
    <mergeCell ref="BJ11:BK11"/>
    <mergeCell ref="BJ12:BK12"/>
    <mergeCell ref="BJ13:BK13"/>
    <mergeCell ref="BJ14:BK14"/>
    <mergeCell ref="BJ15:BK15"/>
    <mergeCell ref="BJ16:BK16"/>
    <mergeCell ref="BJ17:BK17"/>
    <mergeCell ref="BJ18:BK18"/>
    <mergeCell ref="BJ19:BK19"/>
    <mergeCell ref="BJ20:BK20"/>
    <mergeCell ref="BJ21:BK21"/>
    <mergeCell ref="BJ22:BK22"/>
    <mergeCell ref="BJ24:BK24"/>
    <mergeCell ref="Q36:AF36"/>
    <mergeCell ref="AF46:AK46"/>
    <mergeCell ref="BJ25:BK25"/>
    <mergeCell ref="BJ29:BK29"/>
    <mergeCell ref="BJ30:BK30"/>
    <mergeCell ref="AQ36:BG36"/>
    <mergeCell ref="AG36:AO36"/>
    <mergeCell ref="BJ32:BK32"/>
    <mergeCell ref="BJ33:BK33"/>
    <mergeCell ref="BJ34:BK34"/>
    <mergeCell ref="BJ35:BK35"/>
    <mergeCell ref="AF57:AJ57"/>
    <mergeCell ref="AF58:AJ58"/>
    <mergeCell ref="AF59:AJ59"/>
    <mergeCell ref="AF66:AJ66"/>
    <mergeCell ref="AF52:AJ52"/>
    <mergeCell ref="AF53:AJ53"/>
    <mergeCell ref="AF54:AJ54"/>
    <mergeCell ref="AF55:AJ55"/>
    <mergeCell ref="AF56:AJ56"/>
    <mergeCell ref="BJ7:BM8"/>
    <mergeCell ref="B36:P36"/>
    <mergeCell ref="B1:BG1"/>
    <mergeCell ref="B2:D2"/>
    <mergeCell ref="G2:I2"/>
    <mergeCell ref="L2:N2"/>
    <mergeCell ref="Q2:S2"/>
    <mergeCell ref="V2:X2"/>
    <mergeCell ref="AA2:AC2"/>
    <mergeCell ref="AF2:AH2"/>
    <mergeCell ref="AK2:AM2"/>
    <mergeCell ref="AP2:AR2"/>
    <mergeCell ref="AU2:AW2"/>
    <mergeCell ref="AZ2:BB2"/>
    <mergeCell ref="BE2:BG2"/>
    <mergeCell ref="BJ23:BK23"/>
  </mergeCells>
  <conditionalFormatting sqref="G4:G32 Q4:Q33 AA4:AA33 AP4:AP33 AZ4:AZ33 B4:B34 L4:L34 V4:V34 AF4:AF34 AK4:AK34 AU4:AU34 BE4:BE34">
    <cfRule type="expression" dxfId="25" priority="435">
      <formula>VLOOKUP(B4,$BL$9:$BL$26,1,0)</formula>
    </cfRule>
    <cfRule type="expression" dxfId="24" priority="436" stopIfTrue="1">
      <formula>WEEKDAY(B4,2)&gt;5</formula>
    </cfRule>
    <cfRule type="expression" dxfId="23" priority="437">
      <formula>F4=1</formula>
    </cfRule>
  </conditionalFormatting>
  <conditionalFormatting sqref="G4:G32 AP4:AP32 Q4:Q33 AA4:AA33 AZ4:AZ33 B4:B34 L4:L34 V4:V34 AF4:AF34 AK4:AK34 AU4:AU34 BE4:BE34">
    <cfRule type="expression" dxfId="22" priority="447">
      <formula>VLOOKUP(B4,$BN$9:$BN$26,1,0)</formula>
    </cfRule>
  </conditionalFormatting>
  <conditionalFormatting sqref="G32">
    <cfRule type="expression" dxfId="21" priority="108">
      <formula>$G$35=0</formula>
    </cfRule>
  </conditionalFormatting>
  <conditionalFormatting sqref="G37:K38">
    <cfRule type="cellIs" dxfId="20" priority="117" stopIfTrue="1" operator="equal">
      <formula>Name1</formula>
    </cfRule>
    <cfRule type="cellIs" dxfId="19" priority="118" stopIfTrue="1" operator="equal">
      <formula>Name2</formula>
    </cfRule>
    <cfRule type="cellIs" dxfId="18" priority="119" stopIfTrue="1" operator="equal">
      <formula>Name3</formula>
    </cfRule>
  </conditionalFormatting>
  <conditionalFormatting sqref="G73:K75">
    <cfRule type="cellIs" dxfId="17" priority="120" stopIfTrue="1" operator="equal">
      <formula>Name1</formula>
    </cfRule>
    <cfRule type="cellIs" dxfId="16" priority="121" stopIfTrue="1" operator="equal">
      <formula>Name2</formula>
    </cfRule>
    <cfRule type="cellIs" dxfId="15" priority="122" stopIfTrue="1" operator="equal">
      <formula>Name3</formula>
    </cfRule>
  </conditionalFormatting>
  <conditionalFormatting sqref="BJ9:BJ25">
    <cfRule type="cellIs" dxfId="14" priority="129" operator="equal">
      <formula>""</formula>
    </cfRule>
    <cfRule type="expression" dxfId="13" priority="130">
      <formula>BQ9=0</formula>
    </cfRule>
  </conditionalFormatting>
  <conditionalFormatting sqref="BL9:BM9 BM10:BM12 BL10:BL25">
    <cfRule type="expression" dxfId="12" priority="127">
      <formula>$BS9=1</formula>
    </cfRule>
    <cfRule type="expression" dxfId="11" priority="128">
      <formula>$BR9=1</formula>
    </cfRule>
  </conditionalFormatting>
  <conditionalFormatting sqref="BM13:BM25">
    <cfRule type="expression" dxfId="10" priority="461">
      <formula>$BS14=1</formula>
    </cfRule>
    <cfRule type="expression" dxfId="9" priority="462">
      <formula>$BR14=1</formula>
    </cfRule>
  </conditionalFormatting>
  <conditionalFormatting sqref="BN9:BO25">
    <cfRule type="cellIs" dxfId="8" priority="2" operator="equal">
      <formula>""</formula>
    </cfRule>
  </conditionalFormatting>
  <conditionalFormatting sqref="BN25:BO25">
    <cfRule type="expression" dxfId="7" priority="1">
      <formula>$BL$24=$BN$25</formula>
    </cfRule>
  </conditionalFormatting>
  <printOptions horizontalCentered="1" verticalCentered="1"/>
  <pageMargins left="0.51181102362204722" right="0.31496062992125984" top="0.78740157480314965" bottom="0.78740157480314965" header="0.31496062992125984" footer="0.31496062992125984"/>
  <pageSetup paperSize="9" scale="50" orientation="landscape" horizontalDpi="4294967292" r:id="rId1"/>
  <colBreaks count="1" manualBreakCount="1">
    <brk id="40" max="1048575" man="1"/>
  </colBreaks>
  <ignoredErrors>
    <ignoredError sqref="BR11:BR25 BS11:BS24" evalError="1"/>
    <ignoredError sqref="BN9:BP12 BN14:BP25 BN13:BO13" formula="1"/>
    <ignoredError sqref="BP13" evalError="1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AB55"/>
  <sheetViews>
    <sheetView showGridLines="0" zoomScaleNormal="100" workbookViewId="0">
      <pane ySplit="25" topLeftCell="A26" activePane="bottomLeft" state="frozen"/>
      <selection pane="bottomLeft" activeCell="D1" sqref="D1:G1"/>
    </sheetView>
  </sheetViews>
  <sheetFormatPr baseColWidth="10" defaultColWidth="11.5703125" defaultRowHeight="12.75"/>
  <cols>
    <col min="1" max="1" width="29.7109375" style="30" customWidth="1"/>
    <col min="2" max="2" width="13" style="30" customWidth="1"/>
    <col min="3" max="3" width="30.85546875" style="30" customWidth="1"/>
    <col min="4" max="4" width="5.5703125" style="45" customWidth="1"/>
    <col min="5" max="5" width="13.85546875" style="30" customWidth="1"/>
    <col min="6" max="6" width="2.28515625" style="30" customWidth="1"/>
    <col min="7" max="7" width="43.5703125" style="30" customWidth="1"/>
    <col min="8" max="8" width="3.7109375" style="30" customWidth="1"/>
    <col min="9" max="9" width="27.5703125" style="30" customWidth="1"/>
    <col min="10" max="10" width="5.42578125" style="386" customWidth="1"/>
    <col min="11" max="11" width="4.5703125" style="30" hidden="1" customWidth="1"/>
    <col min="12" max="12" width="5.42578125" style="30" customWidth="1"/>
    <col min="13" max="13" width="4.42578125" style="30" customWidth="1"/>
    <col min="14" max="14" width="4.42578125" style="125" customWidth="1"/>
    <col min="15" max="28" width="4.42578125" style="30" customWidth="1"/>
    <col min="29" max="16384" width="11.5703125" style="30"/>
  </cols>
  <sheetData>
    <row r="1" spans="2:28" ht="24" customHeight="1" thickBot="1">
      <c r="B1" s="520" t="s">
        <v>17</v>
      </c>
      <c r="C1" s="521">
        <f ca="1">YEAR(Kalender!D6)</f>
        <v>2024</v>
      </c>
      <c r="D1" s="839" t="str">
        <f>Ferien!C8</f>
        <v>Baden-Württemberg</v>
      </c>
      <c r="E1" s="840"/>
      <c r="F1" s="840"/>
      <c r="G1" s="841"/>
      <c r="H1" s="60" t="str">
        <f>VLOOKUP(D1,I2:J17,2)</f>
        <v>BW</v>
      </c>
      <c r="I1" s="555" t="s">
        <v>219</v>
      </c>
      <c r="J1" s="387">
        <f>VLOOKUP(D1,I2:K17,3)</f>
        <v>1</v>
      </c>
      <c r="K1" s="61"/>
      <c r="M1" s="388" t="s">
        <v>164</v>
      </c>
      <c r="N1" s="388" t="s">
        <v>165</v>
      </c>
      <c r="O1" s="388" t="s">
        <v>105</v>
      </c>
      <c r="P1" s="388" t="s">
        <v>108</v>
      </c>
      <c r="Q1" s="388" t="s">
        <v>166</v>
      </c>
      <c r="R1" s="388" t="s">
        <v>167</v>
      </c>
      <c r="S1" s="388" t="s">
        <v>168</v>
      </c>
      <c r="T1" s="388" t="s">
        <v>169</v>
      </c>
      <c r="U1" s="388" t="s">
        <v>170</v>
      </c>
      <c r="V1" s="388" t="s">
        <v>171</v>
      </c>
      <c r="W1" s="388" t="s">
        <v>172</v>
      </c>
      <c r="X1" s="388" t="s">
        <v>173</v>
      </c>
      <c r="Y1" s="388" t="s">
        <v>125</v>
      </c>
      <c r="Z1" s="388" t="s">
        <v>174</v>
      </c>
      <c r="AA1" s="388" t="s">
        <v>175</v>
      </c>
      <c r="AB1" s="388" t="s">
        <v>118</v>
      </c>
    </row>
    <row r="2" spans="2:28" ht="12.75" customHeight="1">
      <c r="B2" s="389">
        <f ca="1">IF(D2="x",E2,"")</f>
        <v>45292</v>
      </c>
      <c r="C2" s="584" t="s">
        <v>25</v>
      </c>
      <c r="D2" s="390" t="str">
        <f>IF($J$1=1,M2,IF($J$1=2,N2,IF($J$1=3,O2,IF($J$1=4,P2,IF($J$1=5,Q2,IF($J$1=6,R2,IF($J$1=7,S2,IF($J$1=8,T2,IF($J$1=9,U2,IF($J$1=10,V2,IF($J$1=11,W2,IF($J$1=12,X2,IF($J$1=13,Y2,IF($J$1=14,Z2,IF($J$1=15,AA2,IF($J$1=16,AB2,""))))))))))))))))</f>
        <v>X</v>
      </c>
      <c r="E2" s="391">
        <f ca="1">DATE(C1,1,1)</f>
        <v>45292</v>
      </c>
      <c r="G2" s="392" t="s">
        <v>101</v>
      </c>
      <c r="I2" s="393" t="s">
        <v>102</v>
      </c>
      <c r="J2" s="394" t="s">
        <v>164</v>
      </c>
      <c r="K2" s="30">
        <v>1</v>
      </c>
      <c r="M2" s="395" t="s">
        <v>217</v>
      </c>
      <c r="N2" s="395" t="s">
        <v>217</v>
      </c>
      <c r="O2" s="395" t="s">
        <v>217</v>
      </c>
      <c r="P2" s="395" t="s">
        <v>217</v>
      </c>
      <c r="Q2" s="395" t="s">
        <v>217</v>
      </c>
      <c r="R2" s="395" t="s">
        <v>217</v>
      </c>
      <c r="S2" s="395" t="s">
        <v>217</v>
      </c>
      <c r="T2" s="395" t="s">
        <v>217</v>
      </c>
      <c r="U2" s="395" t="s">
        <v>217</v>
      </c>
      <c r="V2" s="395" t="s">
        <v>217</v>
      </c>
      <c r="W2" s="395" t="s">
        <v>217</v>
      </c>
      <c r="X2" s="395" t="s">
        <v>217</v>
      </c>
      <c r="Y2" s="395" t="s">
        <v>217</v>
      </c>
      <c r="Z2" s="395" t="s">
        <v>217</v>
      </c>
      <c r="AA2" s="395" t="s">
        <v>217</v>
      </c>
      <c r="AB2" s="395" t="s">
        <v>217</v>
      </c>
    </row>
    <row r="3" spans="2:28" ht="12.75" customHeight="1">
      <c r="B3" s="389">
        <f t="shared" ref="B3:B22" ca="1" si="0">IF(D3="x",E3,"")</f>
        <v>45297</v>
      </c>
      <c r="C3" s="584" t="s">
        <v>26</v>
      </c>
      <c r="D3" s="390" t="str">
        <f t="shared" ref="D3:D18" si="1">IF($J$1=1,M3,IF($J$1=2,N3,IF($J$1=3,O3,IF($J$1=4,P3,IF($J$1=5,Q3,IF($J$1=6,R3,IF($J$1=7,S3,IF($J$1=8,T3,IF($J$1=9,U3,IF($J$1=10,V3,IF($J$1=11,W3,IF($J$1=12,X3,IF($J$1=13,Y3,IF($J$1=14,Z3,IF($J$1=15,AA3,IF($J$1=16,AB3,""))))))))))))))))</f>
        <v>X</v>
      </c>
      <c r="E3" s="396">
        <f ca="1">DATE(C1,1,6)</f>
        <v>45297</v>
      </c>
      <c r="G3" s="397" t="s">
        <v>103</v>
      </c>
      <c r="I3" s="393" t="s">
        <v>104</v>
      </c>
      <c r="J3" s="394" t="s">
        <v>165</v>
      </c>
      <c r="K3" s="30">
        <v>2</v>
      </c>
      <c r="M3" s="395" t="s">
        <v>217</v>
      </c>
      <c r="N3" s="395" t="s">
        <v>217</v>
      </c>
      <c r="O3" s="395"/>
      <c r="P3" s="395"/>
      <c r="Q3" s="395"/>
      <c r="R3" s="395"/>
      <c r="S3" s="395"/>
      <c r="T3" s="395"/>
      <c r="U3" s="395"/>
      <c r="V3" s="395"/>
      <c r="W3" s="395"/>
      <c r="X3" s="395"/>
      <c r="Y3" s="395"/>
      <c r="Z3" s="395" t="s">
        <v>217</v>
      </c>
      <c r="AA3" s="395"/>
      <c r="AB3" s="395"/>
    </row>
    <row r="4" spans="2:28" ht="12.75" customHeight="1">
      <c r="B4" s="389" t="str">
        <f t="shared" si="0"/>
        <v/>
      </c>
      <c r="C4" s="585" t="s">
        <v>127</v>
      </c>
      <c r="D4" s="390">
        <f t="shared" si="1"/>
        <v>0</v>
      </c>
      <c r="E4" s="396">
        <f ca="1">DATE(C1,3,8)</f>
        <v>45359</v>
      </c>
      <c r="G4" s="397" t="s">
        <v>105</v>
      </c>
      <c r="I4" s="393" t="s">
        <v>106</v>
      </c>
      <c r="J4" s="394" t="s">
        <v>105</v>
      </c>
      <c r="K4" s="30">
        <v>3</v>
      </c>
      <c r="M4" s="395"/>
      <c r="N4" s="395"/>
      <c r="O4" s="395" t="s">
        <v>217</v>
      </c>
      <c r="P4" s="395"/>
      <c r="Q4" s="395"/>
      <c r="R4" s="395"/>
      <c r="S4" s="395"/>
      <c r="T4" s="395"/>
      <c r="U4" s="395"/>
      <c r="V4" s="395"/>
      <c r="W4" s="395"/>
      <c r="X4" s="395"/>
      <c r="Y4" s="395"/>
      <c r="Z4" s="395"/>
      <c r="AA4" s="395"/>
      <c r="AB4" s="395"/>
    </row>
    <row r="5" spans="2:28" ht="12.75" customHeight="1">
      <c r="B5" s="389">
        <f t="shared" ca="1" si="0"/>
        <v>45380</v>
      </c>
      <c r="C5" s="584" t="s">
        <v>27</v>
      </c>
      <c r="D5" s="390" t="str">
        <f t="shared" si="1"/>
        <v>X</v>
      </c>
      <c r="E5" s="396">
        <f ca="1">I20-2</f>
        <v>45380</v>
      </c>
      <c r="G5" s="397" t="s">
        <v>101</v>
      </c>
      <c r="I5" s="393" t="s">
        <v>107</v>
      </c>
      <c r="J5" s="394" t="s">
        <v>108</v>
      </c>
      <c r="K5" s="30">
        <v>4</v>
      </c>
      <c r="M5" s="395" t="s">
        <v>217</v>
      </c>
      <c r="N5" s="395" t="s">
        <v>217</v>
      </c>
      <c r="O5" s="395" t="s">
        <v>217</v>
      </c>
      <c r="P5" s="395" t="s">
        <v>217</v>
      </c>
      <c r="Q5" s="395" t="s">
        <v>217</v>
      </c>
      <c r="R5" s="395" t="s">
        <v>217</v>
      </c>
      <c r="S5" s="395" t="s">
        <v>217</v>
      </c>
      <c r="T5" s="395" t="s">
        <v>217</v>
      </c>
      <c r="U5" s="395" t="s">
        <v>217</v>
      </c>
      <c r="V5" s="395" t="s">
        <v>217</v>
      </c>
      <c r="W5" s="395" t="s">
        <v>217</v>
      </c>
      <c r="X5" s="395" t="s">
        <v>217</v>
      </c>
      <c r="Y5" s="395" t="s">
        <v>217</v>
      </c>
      <c r="Z5" s="395" t="s">
        <v>217</v>
      </c>
      <c r="AA5" s="395" t="s">
        <v>217</v>
      </c>
      <c r="AB5" s="395" t="s">
        <v>217</v>
      </c>
    </row>
    <row r="6" spans="2:28" ht="12.75" customHeight="1">
      <c r="B6" s="389">
        <f t="shared" ca="1" si="0"/>
        <v>45383</v>
      </c>
      <c r="C6" s="584" t="s">
        <v>29</v>
      </c>
      <c r="D6" s="390" t="str">
        <f t="shared" si="1"/>
        <v>X</v>
      </c>
      <c r="E6" s="396">
        <f ca="1">I20+1</f>
        <v>45383</v>
      </c>
      <c r="G6" s="397" t="s">
        <v>101</v>
      </c>
      <c r="I6" s="393" t="s">
        <v>109</v>
      </c>
      <c r="J6" s="394" t="s">
        <v>166</v>
      </c>
      <c r="K6" s="30">
        <v>5</v>
      </c>
      <c r="M6" s="395" t="s">
        <v>217</v>
      </c>
      <c r="N6" s="395" t="s">
        <v>217</v>
      </c>
      <c r="O6" s="395" t="s">
        <v>217</v>
      </c>
      <c r="P6" s="395" t="s">
        <v>217</v>
      </c>
      <c r="Q6" s="395" t="s">
        <v>217</v>
      </c>
      <c r="R6" s="395" t="s">
        <v>217</v>
      </c>
      <c r="S6" s="395" t="s">
        <v>217</v>
      </c>
      <c r="T6" s="395" t="s">
        <v>217</v>
      </c>
      <c r="U6" s="395" t="s">
        <v>217</v>
      </c>
      <c r="V6" s="395" t="s">
        <v>217</v>
      </c>
      <c r="W6" s="395" t="s">
        <v>217</v>
      </c>
      <c r="X6" s="395" t="s">
        <v>217</v>
      </c>
      <c r="Y6" s="395" t="s">
        <v>217</v>
      </c>
      <c r="Z6" s="395" t="s">
        <v>217</v>
      </c>
      <c r="AA6" s="395" t="s">
        <v>217</v>
      </c>
      <c r="AB6" s="395" t="s">
        <v>217</v>
      </c>
    </row>
    <row r="7" spans="2:28" ht="12.75" customHeight="1">
      <c r="B7" s="389">
        <f t="shared" ca="1" si="0"/>
        <v>45413</v>
      </c>
      <c r="C7" s="584" t="s">
        <v>30</v>
      </c>
      <c r="D7" s="390" t="str">
        <f t="shared" si="1"/>
        <v>X</v>
      </c>
      <c r="E7" s="396">
        <f ca="1">DATE(C1,5,1)</f>
        <v>45413</v>
      </c>
      <c r="G7" s="397" t="s">
        <v>101</v>
      </c>
      <c r="I7" s="393" t="s">
        <v>110</v>
      </c>
      <c r="J7" s="394" t="s">
        <v>167</v>
      </c>
      <c r="K7" s="30">
        <v>6</v>
      </c>
      <c r="M7" s="395" t="s">
        <v>217</v>
      </c>
      <c r="N7" s="395" t="s">
        <v>217</v>
      </c>
      <c r="O7" s="395" t="s">
        <v>217</v>
      </c>
      <c r="P7" s="395" t="s">
        <v>217</v>
      </c>
      <c r="Q7" s="395" t="s">
        <v>217</v>
      </c>
      <c r="R7" s="395" t="s">
        <v>217</v>
      </c>
      <c r="S7" s="395" t="s">
        <v>217</v>
      </c>
      <c r="T7" s="395" t="s">
        <v>217</v>
      </c>
      <c r="U7" s="395" t="s">
        <v>217</v>
      </c>
      <c r="V7" s="395" t="s">
        <v>217</v>
      </c>
      <c r="W7" s="395" t="s">
        <v>217</v>
      </c>
      <c r="X7" s="395" t="s">
        <v>217</v>
      </c>
      <c r="Y7" s="395" t="s">
        <v>217</v>
      </c>
      <c r="Z7" s="395" t="s">
        <v>217</v>
      </c>
      <c r="AA7" s="395" t="s">
        <v>217</v>
      </c>
      <c r="AB7" s="395" t="s">
        <v>217</v>
      </c>
    </row>
    <row r="8" spans="2:28" ht="12.75" customHeight="1">
      <c r="B8" s="389">
        <f t="shared" ca="1" si="0"/>
        <v>45421</v>
      </c>
      <c r="C8" s="584" t="s">
        <v>31</v>
      </c>
      <c r="D8" s="390" t="str">
        <f t="shared" si="1"/>
        <v>X</v>
      </c>
      <c r="E8" s="396">
        <f ca="1">I20+39</f>
        <v>45421</v>
      </c>
      <c r="G8" s="397" t="s">
        <v>101</v>
      </c>
      <c r="I8" s="393" t="s">
        <v>111</v>
      </c>
      <c r="J8" s="394" t="s">
        <v>168</v>
      </c>
      <c r="K8" s="30">
        <v>7</v>
      </c>
      <c r="M8" s="395" t="s">
        <v>217</v>
      </c>
      <c r="N8" s="395" t="s">
        <v>217</v>
      </c>
      <c r="O8" s="395" t="s">
        <v>217</v>
      </c>
      <c r="P8" s="395" t="s">
        <v>217</v>
      </c>
      <c r="Q8" s="395" t="s">
        <v>217</v>
      </c>
      <c r="R8" s="395" t="s">
        <v>217</v>
      </c>
      <c r="S8" s="395" t="s">
        <v>217</v>
      </c>
      <c r="T8" s="395" t="s">
        <v>217</v>
      </c>
      <c r="U8" s="395" t="s">
        <v>217</v>
      </c>
      <c r="V8" s="395" t="s">
        <v>217</v>
      </c>
      <c r="W8" s="395" t="s">
        <v>217</v>
      </c>
      <c r="X8" s="395" t="s">
        <v>217</v>
      </c>
      <c r="Y8" s="395" t="s">
        <v>217</v>
      </c>
      <c r="Z8" s="395" t="s">
        <v>217</v>
      </c>
      <c r="AA8" s="395" t="s">
        <v>217</v>
      </c>
      <c r="AB8" s="395" t="s">
        <v>217</v>
      </c>
    </row>
    <row r="9" spans="2:28" ht="12.75" customHeight="1">
      <c r="B9" s="389">
        <f t="shared" ca="1" si="0"/>
        <v>45432</v>
      </c>
      <c r="C9" s="584" t="s">
        <v>32</v>
      </c>
      <c r="D9" s="390" t="str">
        <f t="shared" si="1"/>
        <v>X</v>
      </c>
      <c r="E9" s="396">
        <f ca="1">I20+50</f>
        <v>45432</v>
      </c>
      <c r="G9" s="397" t="s">
        <v>101</v>
      </c>
      <c r="I9" s="393" t="s">
        <v>112</v>
      </c>
      <c r="J9" s="394" t="s">
        <v>169</v>
      </c>
      <c r="K9" s="30">
        <v>8</v>
      </c>
      <c r="M9" s="395" t="s">
        <v>217</v>
      </c>
      <c r="N9" s="395" t="s">
        <v>217</v>
      </c>
      <c r="O9" s="395" t="s">
        <v>217</v>
      </c>
      <c r="P9" s="395" t="s">
        <v>217</v>
      </c>
      <c r="Q9" s="395" t="s">
        <v>217</v>
      </c>
      <c r="R9" s="395" t="s">
        <v>217</v>
      </c>
      <c r="S9" s="395" t="s">
        <v>217</v>
      </c>
      <c r="T9" s="395" t="s">
        <v>217</v>
      </c>
      <c r="U9" s="395" t="s">
        <v>217</v>
      </c>
      <c r="V9" s="395" t="s">
        <v>217</v>
      </c>
      <c r="W9" s="395" t="s">
        <v>217</v>
      </c>
      <c r="X9" s="395" t="s">
        <v>217</v>
      </c>
      <c r="Y9" s="395" t="s">
        <v>217</v>
      </c>
      <c r="Z9" s="395" t="s">
        <v>217</v>
      </c>
      <c r="AA9" s="395" t="s">
        <v>217</v>
      </c>
      <c r="AB9" s="395" t="s">
        <v>217</v>
      </c>
    </row>
    <row r="10" spans="2:28" ht="12.75" customHeight="1">
      <c r="B10" s="389">
        <f t="shared" ca="1" si="0"/>
        <v>45442</v>
      </c>
      <c r="C10" s="584" t="s">
        <v>33</v>
      </c>
      <c r="D10" s="390" t="str">
        <f t="shared" si="1"/>
        <v>X</v>
      </c>
      <c r="E10" s="396">
        <f ca="1">I20+60</f>
        <v>45442</v>
      </c>
      <c r="G10" s="397" t="s">
        <v>115</v>
      </c>
      <c r="I10" s="393" t="s">
        <v>113</v>
      </c>
      <c r="J10" s="394" t="s">
        <v>170</v>
      </c>
      <c r="K10" s="30">
        <v>9</v>
      </c>
      <c r="M10" s="395" t="s">
        <v>217</v>
      </c>
      <c r="N10" s="395" t="s">
        <v>217</v>
      </c>
      <c r="O10" s="395"/>
      <c r="P10" s="395"/>
      <c r="Q10" s="395"/>
      <c r="R10" s="395"/>
      <c r="S10" s="395" t="s">
        <v>217</v>
      </c>
      <c r="T10" s="395"/>
      <c r="U10" s="395"/>
      <c r="V10" s="395" t="s">
        <v>217</v>
      </c>
      <c r="W10" s="395" t="s">
        <v>217</v>
      </c>
      <c r="X10" s="395"/>
      <c r="Y10" s="395"/>
      <c r="Z10" s="395"/>
      <c r="AA10" s="395"/>
      <c r="AB10" s="395"/>
    </row>
    <row r="11" spans="2:28" ht="12.75" customHeight="1">
      <c r="B11" s="389" t="str">
        <f t="shared" si="0"/>
        <v/>
      </c>
      <c r="C11" s="585" t="s">
        <v>100</v>
      </c>
      <c r="D11" s="390">
        <f t="shared" si="1"/>
        <v>0</v>
      </c>
      <c r="E11" s="398">
        <f ca="1">DATE(C1,8,15)</f>
        <v>45519</v>
      </c>
      <c r="G11" s="397" t="s">
        <v>117</v>
      </c>
      <c r="I11" s="393" t="s">
        <v>114</v>
      </c>
      <c r="J11" s="394" t="s">
        <v>171</v>
      </c>
      <c r="K11" s="30">
        <v>10</v>
      </c>
      <c r="M11" s="395"/>
      <c r="N11" s="395"/>
      <c r="O11" s="395"/>
      <c r="P11" s="395"/>
      <c r="Q11" s="395"/>
      <c r="R11" s="395"/>
      <c r="S11" s="395"/>
      <c r="T11" s="395"/>
      <c r="U11" s="395"/>
      <c r="V11" s="395"/>
      <c r="W11" s="395"/>
      <c r="X11" s="395" t="s">
        <v>217</v>
      </c>
      <c r="Y11" s="395"/>
      <c r="Z11" s="395"/>
      <c r="AA11" s="395"/>
      <c r="AB11" s="395"/>
    </row>
    <row r="12" spans="2:28" ht="12.75" customHeight="1">
      <c r="B12" s="389" t="str">
        <f t="shared" si="0"/>
        <v/>
      </c>
      <c r="C12" s="584" t="s">
        <v>128</v>
      </c>
      <c r="D12" s="390">
        <f t="shared" si="1"/>
        <v>0</v>
      </c>
      <c r="E12" s="396">
        <f ca="1">DATE(C1,9,20)</f>
        <v>45555</v>
      </c>
      <c r="G12" s="397" t="s">
        <v>118</v>
      </c>
      <c r="I12" s="393" t="s">
        <v>116</v>
      </c>
      <c r="J12" s="394" t="s">
        <v>172</v>
      </c>
      <c r="K12" s="30">
        <v>11</v>
      </c>
      <c r="M12" s="395"/>
      <c r="N12" s="395"/>
      <c r="O12" s="395"/>
      <c r="P12" s="395"/>
      <c r="Q12" s="395"/>
      <c r="R12" s="395"/>
      <c r="S12" s="395"/>
      <c r="T12" s="395"/>
      <c r="U12" s="395"/>
      <c r="V12" s="395"/>
      <c r="W12" s="395"/>
      <c r="X12" s="395"/>
      <c r="Y12" s="395"/>
      <c r="Z12" s="395"/>
      <c r="AA12" s="395"/>
      <c r="AB12" s="395" t="s">
        <v>217</v>
      </c>
    </row>
    <row r="13" spans="2:28" ht="12.75" customHeight="1">
      <c r="B13" s="389">
        <f t="shared" ca="1" si="0"/>
        <v>45568</v>
      </c>
      <c r="C13" s="584" t="s">
        <v>49</v>
      </c>
      <c r="D13" s="390" t="str">
        <f t="shared" si="1"/>
        <v>X</v>
      </c>
      <c r="E13" s="396">
        <f ca="1">DATE($C$1,10,3)</f>
        <v>45568</v>
      </c>
      <c r="G13" s="397" t="s">
        <v>101</v>
      </c>
      <c r="I13" s="393" t="s">
        <v>119</v>
      </c>
      <c r="J13" s="394" t="s">
        <v>173</v>
      </c>
      <c r="K13" s="30">
        <v>12</v>
      </c>
      <c r="M13" s="395" t="s">
        <v>217</v>
      </c>
      <c r="N13" s="395" t="s">
        <v>217</v>
      </c>
      <c r="O13" s="395" t="s">
        <v>217</v>
      </c>
      <c r="P13" s="395" t="s">
        <v>217</v>
      </c>
      <c r="Q13" s="395" t="s">
        <v>217</v>
      </c>
      <c r="R13" s="395" t="s">
        <v>217</v>
      </c>
      <c r="S13" s="395" t="s">
        <v>217</v>
      </c>
      <c r="T13" s="395" t="s">
        <v>217</v>
      </c>
      <c r="U13" s="395" t="s">
        <v>217</v>
      </c>
      <c r="V13" s="395" t="s">
        <v>217</v>
      </c>
      <c r="W13" s="395" t="s">
        <v>217</v>
      </c>
      <c r="X13" s="395" t="s">
        <v>217</v>
      </c>
      <c r="Y13" s="395" t="s">
        <v>217</v>
      </c>
      <c r="Z13" s="395" t="s">
        <v>217</v>
      </c>
      <c r="AA13" s="395" t="s">
        <v>217</v>
      </c>
      <c r="AB13" s="395" t="s">
        <v>217</v>
      </c>
    </row>
    <row r="14" spans="2:28" ht="12.75" customHeight="1">
      <c r="B14" s="389" t="str">
        <f t="shared" si="0"/>
        <v/>
      </c>
      <c r="C14" s="584" t="s">
        <v>34</v>
      </c>
      <c r="D14" s="390">
        <f t="shared" si="1"/>
        <v>0</v>
      </c>
      <c r="E14" s="396">
        <f ca="1">DATE(C1,10,31)</f>
        <v>45596</v>
      </c>
      <c r="G14" s="397" t="s">
        <v>121</v>
      </c>
      <c r="I14" s="393" t="s">
        <v>120</v>
      </c>
      <c r="J14" s="394" t="s">
        <v>125</v>
      </c>
      <c r="K14" s="30">
        <v>13</v>
      </c>
      <c r="M14" s="395"/>
      <c r="N14" s="395"/>
      <c r="O14" s="395"/>
      <c r="P14" s="395" t="s">
        <v>217</v>
      </c>
      <c r="Q14" s="395" t="s">
        <v>217</v>
      </c>
      <c r="R14" s="395" t="s">
        <v>217</v>
      </c>
      <c r="S14" s="395"/>
      <c r="T14" s="395" t="s">
        <v>217</v>
      </c>
      <c r="U14" s="395" t="s">
        <v>217</v>
      </c>
      <c r="V14" s="395"/>
      <c r="W14" s="395"/>
      <c r="X14" s="395"/>
      <c r="Y14" s="395" t="s">
        <v>217</v>
      </c>
      <c r="Z14" s="395" t="s">
        <v>217</v>
      </c>
      <c r="AA14" s="395" t="s">
        <v>217</v>
      </c>
      <c r="AB14" s="395" t="s">
        <v>217</v>
      </c>
    </row>
    <row r="15" spans="2:28" ht="12.75" customHeight="1">
      <c r="B15" s="389">
        <f t="shared" ca="1" si="0"/>
        <v>45597</v>
      </c>
      <c r="C15" s="584" t="s">
        <v>35</v>
      </c>
      <c r="D15" s="390" t="str">
        <f t="shared" si="1"/>
        <v>X</v>
      </c>
      <c r="E15" s="396">
        <f ca="1">DATE(C1,11,1)</f>
        <v>45597</v>
      </c>
      <c r="G15" s="397" t="s">
        <v>123</v>
      </c>
      <c r="I15" s="393" t="s">
        <v>122</v>
      </c>
      <c r="J15" s="394" t="s">
        <v>174</v>
      </c>
      <c r="K15" s="30">
        <v>14</v>
      </c>
      <c r="M15" s="395" t="s">
        <v>217</v>
      </c>
      <c r="N15" s="395" t="s">
        <v>217</v>
      </c>
      <c r="O15" s="395"/>
      <c r="P15" s="395"/>
      <c r="Q15" s="395"/>
      <c r="R15" s="395"/>
      <c r="S15" s="395"/>
      <c r="T15" s="395"/>
      <c r="U15" s="395"/>
      <c r="V15" s="395" t="s">
        <v>217</v>
      </c>
      <c r="W15" s="395" t="s">
        <v>217</v>
      </c>
      <c r="X15" s="395" t="s">
        <v>217</v>
      </c>
      <c r="Y15" s="395"/>
      <c r="Z15" s="395"/>
      <c r="AA15" s="395"/>
      <c r="AB15" s="395"/>
    </row>
    <row r="16" spans="2:28" ht="12.75" customHeight="1">
      <c r="B16" s="389" t="str">
        <f t="shared" si="0"/>
        <v/>
      </c>
      <c r="C16" s="585" t="s">
        <v>129</v>
      </c>
      <c r="D16" s="390">
        <f t="shared" si="1"/>
        <v>0</v>
      </c>
      <c r="E16" s="396">
        <f ca="1">DATE(C1,12,25)-WEEKDAY(DATE(C1,12,25),2)-32</f>
        <v>45616</v>
      </c>
      <c r="G16" s="397" t="s">
        <v>125</v>
      </c>
      <c r="I16" s="393" t="s">
        <v>124</v>
      </c>
      <c r="J16" s="394" t="s">
        <v>175</v>
      </c>
      <c r="K16" s="30">
        <v>15</v>
      </c>
      <c r="M16" s="395"/>
      <c r="N16" s="395"/>
      <c r="O16" s="395"/>
      <c r="P16" s="395"/>
      <c r="Q16" s="395"/>
      <c r="R16" s="395"/>
      <c r="S16" s="395"/>
      <c r="T16" s="395"/>
      <c r="U16" s="395"/>
      <c r="V16" s="395"/>
      <c r="W16" s="395"/>
      <c r="X16" s="395"/>
      <c r="Y16" s="395" t="s">
        <v>217</v>
      </c>
      <c r="Z16" s="395"/>
      <c r="AA16" s="395"/>
      <c r="AB16" s="395"/>
    </row>
    <row r="17" spans="2:28" ht="12.75" customHeight="1">
      <c r="B17" s="389">
        <f t="shared" ca="1" si="0"/>
        <v>45651</v>
      </c>
      <c r="C17" s="584" t="s">
        <v>36</v>
      </c>
      <c r="D17" s="390" t="str">
        <f t="shared" si="1"/>
        <v>X</v>
      </c>
      <c r="E17" s="396">
        <f ca="1">DATE(C1,12,25)</f>
        <v>45651</v>
      </c>
      <c r="G17" s="397" t="s">
        <v>101</v>
      </c>
      <c r="I17" s="393" t="s">
        <v>126</v>
      </c>
      <c r="J17" s="394" t="s">
        <v>118</v>
      </c>
      <c r="K17" s="30">
        <v>16</v>
      </c>
      <c r="M17" s="395" t="s">
        <v>217</v>
      </c>
      <c r="N17" s="395" t="s">
        <v>217</v>
      </c>
      <c r="O17" s="395" t="s">
        <v>217</v>
      </c>
      <c r="P17" s="395" t="s">
        <v>217</v>
      </c>
      <c r="Q17" s="395" t="s">
        <v>217</v>
      </c>
      <c r="R17" s="395" t="s">
        <v>217</v>
      </c>
      <c r="S17" s="395" t="s">
        <v>217</v>
      </c>
      <c r="T17" s="395" t="s">
        <v>217</v>
      </c>
      <c r="U17" s="395" t="s">
        <v>217</v>
      </c>
      <c r="V17" s="395" t="s">
        <v>217</v>
      </c>
      <c r="W17" s="395" t="s">
        <v>217</v>
      </c>
      <c r="X17" s="395" t="s">
        <v>217</v>
      </c>
      <c r="Y17" s="395" t="s">
        <v>217</v>
      </c>
      <c r="Z17" s="395" t="s">
        <v>217</v>
      </c>
      <c r="AA17" s="395" t="s">
        <v>217</v>
      </c>
      <c r="AB17" s="395" t="s">
        <v>217</v>
      </c>
    </row>
    <row r="18" spans="2:28" ht="12.75" customHeight="1" thickBot="1">
      <c r="B18" s="431">
        <f t="shared" ca="1" si="0"/>
        <v>45652</v>
      </c>
      <c r="C18" s="586" t="s">
        <v>37</v>
      </c>
      <c r="D18" s="432" t="str">
        <f t="shared" si="1"/>
        <v>X</v>
      </c>
      <c r="E18" s="433">
        <f ca="1">DATE(C1,12,26)</f>
        <v>45652</v>
      </c>
      <c r="G18" s="435" t="s">
        <v>101</v>
      </c>
      <c r="M18" s="395" t="s">
        <v>217</v>
      </c>
      <c r="N18" s="395" t="s">
        <v>217</v>
      </c>
      <c r="O18" s="395" t="s">
        <v>217</v>
      </c>
      <c r="P18" s="395" t="s">
        <v>217</v>
      </c>
      <c r="Q18" s="395" t="s">
        <v>217</v>
      </c>
      <c r="R18" s="395" t="s">
        <v>217</v>
      </c>
      <c r="S18" s="395" t="s">
        <v>217</v>
      </c>
      <c r="T18" s="395" t="s">
        <v>217</v>
      </c>
      <c r="U18" s="395" t="s">
        <v>217</v>
      </c>
      <c r="V18" s="395" t="s">
        <v>217</v>
      </c>
      <c r="W18" s="395" t="s">
        <v>217</v>
      </c>
      <c r="X18" s="395" t="s">
        <v>217</v>
      </c>
      <c r="Y18" s="395" t="s">
        <v>217</v>
      </c>
      <c r="Z18" s="395" t="s">
        <v>217</v>
      </c>
      <c r="AA18" s="395" t="s">
        <v>217</v>
      </c>
      <c r="AB18" s="395" t="s">
        <v>217</v>
      </c>
    </row>
    <row r="19" spans="2:28" ht="12.75" customHeight="1">
      <c r="B19" s="430">
        <f t="shared" ca="1" si="0"/>
        <v>45658</v>
      </c>
      <c r="C19" s="587" t="s">
        <v>25</v>
      </c>
      <c r="D19" s="390" t="str">
        <f>IF(D2="X","X","")</f>
        <v>X</v>
      </c>
      <c r="E19" s="391">
        <f ca="1">DATE(C1+1,1,1)</f>
        <v>45658</v>
      </c>
      <c r="I19" s="434" t="s">
        <v>28</v>
      </c>
    </row>
    <row r="20" spans="2:28" ht="12.75" customHeight="1" thickBot="1">
      <c r="B20" s="399">
        <f t="shared" ca="1" si="0"/>
        <v>45663</v>
      </c>
      <c r="C20" s="588" t="s">
        <v>26</v>
      </c>
      <c r="D20" s="390" t="str">
        <f>IF(D3="X","X","")</f>
        <v>X</v>
      </c>
      <c r="E20" s="400">
        <f ca="1">DATE(C1+1,1,6)</f>
        <v>45663</v>
      </c>
      <c r="I20" s="401">
        <f ca="1">DOLLAR((DAY(MINUTE(C1/38)/2+55)&amp;".4."&amp;C1)/7,)*7-6</f>
        <v>45382</v>
      </c>
      <c r="R20" s="125"/>
    </row>
    <row r="21" spans="2:28" ht="12.75" customHeight="1">
      <c r="B21" s="402" t="str">
        <f t="shared" si="0"/>
        <v/>
      </c>
      <c r="C21" s="589"/>
      <c r="D21" s="403"/>
      <c r="E21" s="404"/>
      <c r="G21" s="843" t="s">
        <v>218</v>
      </c>
      <c r="R21" s="125"/>
    </row>
    <row r="22" spans="2:28" ht="12.75" customHeight="1">
      <c r="B22" s="405" t="str">
        <f t="shared" si="0"/>
        <v/>
      </c>
      <c r="C22" s="590"/>
      <c r="D22" s="406"/>
      <c r="E22" s="407"/>
      <c r="G22" s="844"/>
      <c r="R22" s="125"/>
    </row>
    <row r="23" spans="2:28" ht="12.75" customHeight="1" thickBot="1">
      <c r="B23" s="408"/>
      <c r="C23" s="591"/>
      <c r="D23" s="409"/>
      <c r="E23" s="410"/>
      <c r="G23" s="845"/>
      <c r="H23" s="166"/>
      <c r="J23" s="429"/>
      <c r="K23" s="429"/>
      <c r="L23" s="429"/>
    </row>
    <row r="24" spans="2:28" ht="12.75" customHeight="1">
      <c r="B24" s="514"/>
      <c r="C24" s="515"/>
      <c r="D24" s="516"/>
      <c r="E24" s="517"/>
      <c r="G24" s="518"/>
      <c r="H24" s="166"/>
      <c r="I24" s="519"/>
      <c r="J24" s="429"/>
      <c r="K24" s="429"/>
      <c r="L24" s="429"/>
    </row>
    <row r="25" spans="2:28" ht="18" customHeight="1">
      <c r="B25" s="846" t="s">
        <v>229</v>
      </c>
      <c r="C25" s="846"/>
      <c r="D25" s="846"/>
      <c r="E25" s="846"/>
      <c r="H25" s="166"/>
      <c r="I25" s="167"/>
    </row>
    <row r="26" spans="2:28" ht="12.75" customHeight="1">
      <c r="B26" s="411">
        <f ca="1">E26</f>
        <v>45627</v>
      </c>
      <c r="C26" s="584" t="s">
        <v>42</v>
      </c>
      <c r="D26" s="412"/>
      <c r="E26" s="396">
        <f ca="1">DATE($C$1,12,25)-WEEKDAY(DATE($C$1,12,25),2)-21</f>
        <v>45627</v>
      </c>
      <c r="F26" s="413"/>
      <c r="G26" s="413"/>
      <c r="K26" s="414"/>
    </row>
    <row r="27" spans="2:28" ht="12.75" customHeight="1">
      <c r="B27" s="411">
        <f ca="1">E27</f>
        <v>45634</v>
      </c>
      <c r="C27" s="584" t="s">
        <v>43</v>
      </c>
      <c r="D27" s="412"/>
      <c r="E27" s="396">
        <f ca="1">DATE($C$1,12,25)-WEEKDAY(DATE($C$1,12,25),2)-14</f>
        <v>45634</v>
      </c>
      <c r="F27" s="413"/>
      <c r="I27" s="842"/>
      <c r="J27" s="842"/>
      <c r="K27" s="125"/>
      <c r="M27" s="414"/>
    </row>
    <row r="28" spans="2:28" ht="12.75" customHeight="1">
      <c r="B28" s="411">
        <f ca="1">E28</f>
        <v>45641</v>
      </c>
      <c r="C28" s="584" t="s">
        <v>44</v>
      </c>
      <c r="D28" s="412"/>
      <c r="E28" s="396">
        <f ca="1">DATE($C$1,12,25)-WEEKDAY(DATE($C$1,12,25),2)-7</f>
        <v>45641</v>
      </c>
      <c r="F28" s="413"/>
      <c r="I28" s="842"/>
      <c r="J28" s="842"/>
      <c r="M28" s="415"/>
      <c r="N28" s="59"/>
      <c r="O28" s="266"/>
      <c r="P28" s="416"/>
      <c r="Q28" s="45"/>
    </row>
    <row r="29" spans="2:28" ht="12.75" customHeight="1">
      <c r="B29" s="411">
        <f ca="1">E29</f>
        <v>45648</v>
      </c>
      <c r="C29" s="584" t="s">
        <v>45</v>
      </c>
      <c r="D29" s="412"/>
      <c r="E29" s="396">
        <f ca="1">DATE($C$1,12,25)-WEEKDAY(DATE($C$1,12,25),2)</f>
        <v>45648</v>
      </c>
      <c r="F29" s="413"/>
      <c r="I29" s="417"/>
      <c r="J29" s="125"/>
      <c r="M29" s="418"/>
      <c r="N29" s="418"/>
      <c r="O29" s="419"/>
      <c r="P29" s="419"/>
      <c r="Q29" s="419"/>
    </row>
    <row r="30" spans="2:28" ht="12.75" customHeight="1">
      <c r="D30" s="49"/>
      <c r="F30" s="413"/>
      <c r="I30" s="417"/>
      <c r="J30" s="125"/>
      <c r="K30" s="45"/>
      <c r="L30" s="45"/>
      <c r="M30" s="418"/>
      <c r="N30" s="59"/>
      <c r="O30" s="417"/>
      <c r="P30" s="420"/>
      <c r="Q30" s="421"/>
      <c r="S30" s="125"/>
    </row>
    <row r="31" spans="2:28" ht="12.75" customHeight="1">
      <c r="B31" s="422">
        <f ca="1">E31</f>
        <v>45330</v>
      </c>
      <c r="C31" s="584" t="s">
        <v>130</v>
      </c>
      <c r="D31" s="412"/>
      <c r="E31" s="396">
        <f ca="1">E33-4</f>
        <v>45330</v>
      </c>
      <c r="I31" s="417"/>
      <c r="J31" s="125"/>
      <c r="K31" s="45"/>
      <c r="L31" s="45"/>
      <c r="M31" s="418"/>
      <c r="N31" s="59"/>
      <c r="O31" s="417"/>
      <c r="P31" s="420"/>
      <c r="Q31" s="421"/>
      <c r="S31" s="125"/>
    </row>
    <row r="32" spans="2:28" ht="12.75" customHeight="1">
      <c r="B32" s="422">
        <f t="shared" ref="B32:B39" ca="1" si="2">E32</f>
        <v>45336</v>
      </c>
      <c r="C32" s="584" t="s">
        <v>86</v>
      </c>
      <c r="D32" s="412"/>
      <c r="E32" s="396">
        <f ca="1">DATE(C1,2,14)</f>
        <v>45336</v>
      </c>
      <c r="I32" s="417"/>
      <c r="J32" s="125"/>
      <c r="K32" s="45"/>
      <c r="L32" s="45"/>
      <c r="M32" s="418"/>
      <c r="N32" s="59"/>
      <c r="O32" s="417"/>
      <c r="P32" s="420"/>
      <c r="Q32" s="421"/>
    </row>
    <row r="33" spans="2:17">
      <c r="B33" s="422">
        <f t="shared" ca="1" si="2"/>
        <v>45334</v>
      </c>
      <c r="C33" s="584" t="s">
        <v>87</v>
      </c>
      <c r="D33" s="412"/>
      <c r="E33" s="396">
        <f ca="1">7*ROUND((4&amp;-C1)/7+MOD(19*MOD(C1,19)-7,30)*0.14,)-6-48</f>
        <v>45334</v>
      </c>
      <c r="I33" s="417"/>
      <c r="J33" s="125"/>
      <c r="K33" s="45"/>
      <c r="L33" s="45"/>
      <c r="M33" s="418"/>
      <c r="N33" s="59"/>
      <c r="O33" s="417"/>
      <c r="P33" s="420"/>
      <c r="Q33" s="421"/>
    </row>
    <row r="34" spans="2:17">
      <c r="B34" s="422">
        <f t="shared" ca="1" si="2"/>
        <v>45335</v>
      </c>
      <c r="C34" s="585" t="s">
        <v>144</v>
      </c>
      <c r="D34" s="423"/>
      <c r="E34" s="398">
        <f ca="1">E33+1</f>
        <v>45335</v>
      </c>
      <c r="I34" s="417"/>
      <c r="J34" s="125"/>
      <c r="K34" s="45"/>
      <c r="L34" s="45"/>
      <c r="M34" s="418"/>
      <c r="N34" s="59"/>
      <c r="O34" s="417"/>
      <c r="P34" s="420"/>
      <c r="Q34" s="421"/>
    </row>
    <row r="35" spans="2:17">
      <c r="B35" s="422">
        <f t="shared" ca="1" si="2"/>
        <v>45336</v>
      </c>
      <c r="C35" s="584" t="s">
        <v>88</v>
      </c>
      <c r="D35" s="412"/>
      <c r="E35" s="396">
        <f ca="1">E33+2</f>
        <v>45336</v>
      </c>
      <c r="I35" s="417"/>
      <c r="J35" s="125"/>
      <c r="K35" s="45"/>
      <c r="L35" s="45"/>
      <c r="M35" s="418"/>
      <c r="N35" s="59"/>
      <c r="O35" s="417"/>
      <c r="P35" s="420"/>
      <c r="Q35" s="421"/>
    </row>
    <row r="36" spans="2:17">
      <c r="B36" s="422">
        <f t="shared" ca="1" si="2"/>
        <v>45375</v>
      </c>
      <c r="C36" s="584" t="s">
        <v>131</v>
      </c>
      <c r="D36" s="412"/>
      <c r="E36" s="396">
        <f ca="1">I20-7</f>
        <v>45375</v>
      </c>
      <c r="I36" s="417"/>
      <c r="J36" s="125"/>
      <c r="K36" s="45"/>
      <c r="L36" s="45"/>
      <c r="M36" s="418"/>
      <c r="N36" s="59"/>
      <c r="O36" s="417"/>
      <c r="P36" s="420"/>
      <c r="Q36" s="421"/>
    </row>
    <row r="37" spans="2:17" ht="12.75" customHeight="1">
      <c r="B37" s="422">
        <f t="shared" ca="1" si="2"/>
        <v>45379</v>
      </c>
      <c r="C37" s="584" t="s">
        <v>132</v>
      </c>
      <c r="D37" s="412"/>
      <c r="E37" s="396">
        <f ca="1">I20-3</f>
        <v>45379</v>
      </c>
      <c r="I37" s="417"/>
      <c r="J37" s="125"/>
      <c r="K37" s="45"/>
      <c r="L37" s="45"/>
      <c r="M37" s="418"/>
      <c r="N37" s="59"/>
      <c r="O37" s="417"/>
      <c r="P37" s="420"/>
      <c r="Q37" s="421"/>
    </row>
    <row r="38" spans="2:17">
      <c r="B38" s="422">
        <f t="shared" ca="1" si="2"/>
        <v>45412</v>
      </c>
      <c r="C38" s="584" t="s">
        <v>133</v>
      </c>
      <c r="D38" s="412"/>
      <c r="E38" s="396">
        <f ca="1">DATE(C1,4,30)</f>
        <v>45412</v>
      </c>
      <c r="I38" s="417"/>
      <c r="J38" s="125"/>
      <c r="K38" s="45"/>
      <c r="L38" s="45"/>
      <c r="M38" s="418"/>
      <c r="N38" s="59"/>
      <c r="O38" s="417"/>
      <c r="P38" s="420"/>
      <c r="Q38" s="421"/>
    </row>
    <row r="39" spans="2:17">
      <c r="B39" s="422">
        <f t="shared" ca="1" si="2"/>
        <v>45420</v>
      </c>
      <c r="C39" s="584" t="s">
        <v>91</v>
      </c>
      <c r="D39" s="412"/>
      <c r="E39" s="396">
        <f ca="1">DATE(C1,5,8)</f>
        <v>45420</v>
      </c>
      <c r="I39" s="417"/>
      <c r="J39" s="125"/>
      <c r="K39" s="45"/>
      <c r="L39" s="45"/>
      <c r="M39" s="418"/>
      <c r="N39" s="59"/>
      <c r="O39" s="417"/>
      <c r="P39" s="420"/>
      <c r="Q39" s="421"/>
    </row>
    <row r="40" spans="2:17">
      <c r="B40" s="422">
        <f t="shared" ref="B40:B49" ca="1" si="3">E40</f>
        <v>45423</v>
      </c>
      <c r="C40" s="584" t="s">
        <v>137</v>
      </c>
      <c r="D40" s="412"/>
      <c r="E40" s="396">
        <f ca="1">DATE(C1,5,11)</f>
        <v>45423</v>
      </c>
      <c r="I40" s="417"/>
      <c r="J40" s="125"/>
      <c r="K40" s="45"/>
      <c r="L40" s="45"/>
      <c r="M40" s="418"/>
      <c r="N40" s="59"/>
      <c r="O40" s="417"/>
      <c r="P40" s="420"/>
      <c r="Q40" s="421"/>
    </row>
    <row r="41" spans="2:17">
      <c r="B41" s="422">
        <f t="shared" ca="1" si="3"/>
        <v>45424</v>
      </c>
      <c r="C41" s="584" t="s">
        <v>138</v>
      </c>
      <c r="D41" s="412"/>
      <c r="E41" s="396">
        <f ca="1">E40+1</f>
        <v>45424</v>
      </c>
      <c r="I41" s="417"/>
      <c r="J41" s="125"/>
      <c r="K41" s="45"/>
      <c r="L41" s="45"/>
      <c r="M41" s="418"/>
      <c r="N41" s="59"/>
      <c r="O41" s="417"/>
      <c r="P41" s="420"/>
      <c r="Q41" s="421"/>
    </row>
    <row r="42" spans="2:17">
      <c r="B42" s="422">
        <f t="shared" ca="1" si="3"/>
        <v>45425</v>
      </c>
      <c r="C42" s="584" t="s">
        <v>139</v>
      </c>
      <c r="D42" s="412"/>
      <c r="E42" s="396">
        <f ca="1">E41+1</f>
        <v>45425</v>
      </c>
      <c r="I42" s="417"/>
      <c r="J42" s="125"/>
      <c r="K42" s="45"/>
      <c r="L42" s="45"/>
      <c r="M42" s="418"/>
      <c r="N42" s="59"/>
      <c r="O42" s="417"/>
      <c r="P42" s="420"/>
      <c r="Q42" s="421"/>
    </row>
    <row r="43" spans="2:17">
      <c r="B43" s="422">
        <f t="shared" ca="1" si="3"/>
        <v>45426</v>
      </c>
      <c r="C43" s="584" t="s">
        <v>140</v>
      </c>
      <c r="D43" s="412"/>
      <c r="E43" s="396">
        <f ca="1">E42+1</f>
        <v>45426</v>
      </c>
      <c r="I43" s="417"/>
      <c r="J43" s="125"/>
      <c r="K43" s="45"/>
      <c r="L43" s="45"/>
      <c r="M43" s="418"/>
      <c r="N43" s="59"/>
      <c r="O43" s="417"/>
      <c r="P43" s="420"/>
      <c r="Q43" s="421"/>
    </row>
    <row r="44" spans="2:17">
      <c r="B44" s="422">
        <f t="shared" ca="1" si="3"/>
        <v>45427</v>
      </c>
      <c r="C44" s="584" t="s">
        <v>141</v>
      </c>
      <c r="D44" s="412"/>
      <c r="E44" s="396">
        <f ca="1">E43+1</f>
        <v>45427</v>
      </c>
      <c r="I44" s="417"/>
      <c r="J44" s="125"/>
      <c r="K44" s="45"/>
      <c r="L44" s="45"/>
      <c r="M44" s="418"/>
      <c r="N44" s="59"/>
      <c r="O44" s="417"/>
      <c r="P44" s="420"/>
      <c r="Q44" s="421"/>
    </row>
    <row r="45" spans="2:17">
      <c r="B45" s="422">
        <f t="shared" ca="1" si="3"/>
        <v>45470</v>
      </c>
      <c r="C45" s="584" t="s">
        <v>134</v>
      </c>
      <c r="D45" s="412"/>
      <c r="E45" s="396">
        <f ca="1">DATE(C1,6,27)</f>
        <v>45470</v>
      </c>
      <c r="K45" s="45"/>
      <c r="L45" s="45"/>
      <c r="M45" s="418"/>
      <c r="N45" s="59"/>
      <c r="O45" s="417"/>
      <c r="P45" s="420"/>
      <c r="Q45" s="421"/>
    </row>
    <row r="46" spans="2:17">
      <c r="B46" s="422">
        <f t="shared" ca="1" si="3"/>
        <v>45571</v>
      </c>
      <c r="C46" s="584" t="s">
        <v>135</v>
      </c>
      <c r="D46" s="412"/>
      <c r="E46" s="396">
        <f ca="1">DATE(C1,10,1)+7-WEEKDAY(DATE(C1,10,1),2)</f>
        <v>45571</v>
      </c>
      <c r="K46" s="45"/>
      <c r="L46" s="45"/>
      <c r="M46" s="418"/>
      <c r="N46" s="59"/>
      <c r="O46" s="417"/>
      <c r="P46" s="420"/>
      <c r="Q46" s="421"/>
    </row>
    <row r="47" spans="2:17">
      <c r="B47" s="422">
        <f t="shared" ca="1" si="3"/>
        <v>45596</v>
      </c>
      <c r="C47" s="584" t="s">
        <v>90</v>
      </c>
      <c r="D47" s="412"/>
      <c r="E47" s="396">
        <f ca="1">DATE(C1,10,31)</f>
        <v>45596</v>
      </c>
      <c r="K47" s="45"/>
      <c r="L47" s="45"/>
      <c r="M47" s="418"/>
      <c r="N47" s="59"/>
      <c r="O47" s="417"/>
      <c r="P47" s="420"/>
      <c r="Q47" s="421"/>
    </row>
    <row r="48" spans="2:17" ht="12.75" customHeight="1">
      <c r="B48" s="422">
        <f t="shared" ca="1" si="3"/>
        <v>45632</v>
      </c>
      <c r="C48" s="592" t="s">
        <v>189</v>
      </c>
      <c r="D48" s="424"/>
      <c r="E48" s="396">
        <f ca="1">DATE(C1,12,6)</f>
        <v>45632</v>
      </c>
      <c r="K48" s="45"/>
      <c r="L48" s="45"/>
      <c r="M48" s="418"/>
      <c r="N48" s="59"/>
      <c r="O48" s="417"/>
      <c r="P48" s="420"/>
      <c r="Q48" s="421"/>
    </row>
    <row r="49" spans="2:17">
      <c r="B49" s="422">
        <f t="shared" ca="1" si="3"/>
        <v>45607</v>
      </c>
      <c r="C49" s="584" t="s">
        <v>136</v>
      </c>
      <c r="D49" s="412"/>
      <c r="E49" s="396">
        <f ca="1">DATE(C1,11,11)</f>
        <v>45607</v>
      </c>
      <c r="K49" s="45"/>
      <c r="L49" s="45"/>
      <c r="M49" s="418"/>
      <c r="N49" s="59"/>
      <c r="O49" s="417"/>
      <c r="P49" s="420"/>
      <c r="Q49" s="421"/>
    </row>
    <row r="50" spans="2:17">
      <c r="K50" s="45"/>
      <c r="L50" s="45"/>
      <c r="M50" s="418"/>
      <c r="N50" s="59"/>
      <c r="O50" s="417"/>
      <c r="P50" s="420"/>
      <c r="Q50" s="421"/>
    </row>
    <row r="51" spans="2:17">
      <c r="B51" s="425">
        <f ca="1">E51</f>
        <v>45424</v>
      </c>
      <c r="C51" s="593" t="s">
        <v>89</v>
      </c>
      <c r="D51" s="426"/>
      <c r="E51" s="425">
        <f ca="1">IF(DATE(C1,5,15)-WEEKDAY(DATE(C1,5,15),2)=C1,DATE(C1,5,15)-WEEKDAY(DATE(C1,5,15),2)-7,
DATE(C1,5,15)-WEEKDAY(DATE(C1,5,15),2))</f>
        <v>45424</v>
      </c>
      <c r="K51" s="45"/>
      <c r="L51" s="45"/>
      <c r="M51" s="418"/>
      <c r="N51" s="59"/>
      <c r="O51" s="417"/>
      <c r="P51" s="420"/>
      <c r="Q51" s="421"/>
    </row>
    <row r="53" spans="2:17" ht="15.75" customHeight="1">
      <c r="F53" s="427"/>
      <c r="G53" s="427"/>
      <c r="H53" s="427"/>
      <c r="O53" s="61"/>
      <c r="P53" s="66"/>
    </row>
    <row r="54" spans="2:17">
      <c r="B54" s="428" t="str">
        <f ca="1">TEXT(B51,"TT.MM.")</f>
        <v>12.05.</v>
      </c>
      <c r="E54" s="427"/>
      <c r="F54" s="427"/>
      <c r="G54" s="427"/>
      <c r="H54" s="427"/>
      <c r="O54" s="61"/>
      <c r="P54" s="66"/>
    </row>
    <row r="55" spans="2:17">
      <c r="E55" s="427"/>
      <c r="F55" s="427"/>
      <c r="G55" s="427"/>
      <c r="H55" s="427"/>
    </row>
  </sheetData>
  <sheetProtection sheet="1" selectLockedCells="1"/>
  <mergeCells count="4">
    <mergeCell ref="D1:G1"/>
    <mergeCell ref="I27:J28"/>
    <mergeCell ref="G21:G23"/>
    <mergeCell ref="B25:E25"/>
  </mergeCells>
  <phoneticPr fontId="126" type="noConversion"/>
  <conditionalFormatting sqref="D2:D24">
    <cfRule type="expression" dxfId="6" priority="2">
      <formula>$D2=0</formula>
    </cfRule>
  </conditionalFormatting>
  <pageMargins left="0.7" right="0.7" top="0.78749999999999998" bottom="0.78749999999999998" header="0.51180555555555551" footer="0.51180555555555551"/>
  <pageSetup firstPageNumber="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51E30-D1A3-4BE6-B67C-08816DE18966}">
  <dimension ref="A2:L103"/>
  <sheetViews>
    <sheetView showGridLines="0" workbookViewId="0">
      <pane ySplit="7" topLeftCell="A59" activePane="bottomLeft" state="frozen"/>
      <selection pane="bottomLeft" activeCell="C11" sqref="C11"/>
    </sheetView>
  </sheetViews>
  <sheetFormatPr baseColWidth="10" defaultRowHeight="12.75"/>
  <cols>
    <col min="1" max="1" width="21" style="30" customWidth="1"/>
    <col min="2" max="9" width="11.42578125" style="30"/>
    <col min="10" max="10" width="5.42578125" style="30" customWidth="1"/>
    <col min="11" max="11" width="14.85546875" style="30" hidden="1" customWidth="1"/>
    <col min="12" max="16384" width="11.42578125" style="30"/>
  </cols>
  <sheetData>
    <row r="2" spans="1:12" ht="21" thickBot="1">
      <c r="B2" s="847" t="s">
        <v>179</v>
      </c>
      <c r="C2" s="847"/>
      <c r="D2" s="847"/>
      <c r="E2" s="847"/>
      <c r="F2" s="848"/>
      <c r="G2" s="848"/>
      <c r="H2" s="441"/>
    </row>
    <row r="3" spans="1:12" ht="18.75" customHeight="1" thickBot="1">
      <c r="B3" s="849" t="str">
        <f>HYPERLINK("https://mondinfo.de/giessen/"&amp;I3)</f>
        <v>https://mondinfo.de/giessen/2024-07</v>
      </c>
      <c r="C3" s="850"/>
      <c r="D3" s="850"/>
      <c r="E3" s="851"/>
      <c r="F3" s="491"/>
      <c r="G3" s="492" t="s">
        <v>223</v>
      </c>
      <c r="H3" s="493">
        <v>2024</v>
      </c>
      <c r="I3" s="337" t="str">
        <f>H3&amp;"-"&amp;I4</f>
        <v>2024-07</v>
      </c>
    </row>
    <row r="4" spans="1:12" ht="18.75" customHeight="1" thickBot="1">
      <c r="A4"/>
      <c r="B4" s="500" t="s">
        <v>225</v>
      </c>
      <c r="C4" s="494"/>
      <c r="D4" s="494"/>
      <c r="E4" s="494"/>
      <c r="F4" s="495"/>
      <c r="G4" s="496" t="s">
        <v>224</v>
      </c>
      <c r="H4" s="497">
        <v>7</v>
      </c>
      <c r="I4" s="498" t="str">
        <f>IF(H4&lt;10,"0"&amp;H4,H4)</f>
        <v>07</v>
      </c>
    </row>
    <row r="5" spans="1:12" ht="18.75" customHeight="1" thickBot="1">
      <c r="A5"/>
      <c r="B5" s="852" t="s">
        <v>226</v>
      </c>
      <c r="C5" s="853"/>
      <c r="D5" s="853"/>
      <c r="E5" s="853"/>
      <c r="F5" s="854"/>
      <c r="G5" s="499"/>
      <c r="H5" s="499"/>
      <c r="I5" s="499"/>
      <c r="J5" s="499"/>
    </row>
    <row r="6" spans="1:12" ht="15.75" customHeight="1" thickBot="1">
      <c r="F6" s="443"/>
      <c r="G6" s="443"/>
      <c r="H6" s="443"/>
      <c r="I6" s="442"/>
      <c r="L6" s="444" t="s">
        <v>221</v>
      </c>
    </row>
    <row r="7" spans="1:12" ht="15.75" customHeight="1" thickBot="1">
      <c r="B7" s="445">
        <v>2023</v>
      </c>
      <c r="C7" s="445">
        <v>2024</v>
      </c>
      <c r="D7" s="445">
        <v>2025</v>
      </c>
      <c r="E7" s="445">
        <v>2026</v>
      </c>
      <c r="F7" s="445">
        <v>2027</v>
      </c>
      <c r="G7" s="445">
        <v>2028</v>
      </c>
      <c r="H7" s="445">
        <v>2029</v>
      </c>
      <c r="I7" s="445">
        <v>2030</v>
      </c>
      <c r="L7" s="446">
        <f ca="1">Kalender!B2</f>
        <v>2024</v>
      </c>
    </row>
    <row r="8" spans="1:12">
      <c r="B8" s="600">
        <v>44932</v>
      </c>
      <c r="C8" s="600">
        <v>45297</v>
      </c>
      <c r="D8" s="600">
        <v>45661</v>
      </c>
      <c r="E8" s="600">
        <v>46025</v>
      </c>
      <c r="F8" s="600">
        <v>46388</v>
      </c>
      <c r="G8" s="600">
        <v>46753</v>
      </c>
      <c r="H8" s="600">
        <v>47119</v>
      </c>
      <c r="I8" s="600">
        <v>47490</v>
      </c>
      <c r="K8" s="447">
        <f t="shared" ref="K8:K71" ca="1" si="0">IF($L$7=$B$7,B8,IF($L$7=$C$7,C8,IF($L$7=$D$7,D8,IF($L$7=$E$7,E8,IF($L$7=$F$7,F8,IF($L$7=$G$7,G8))))))</f>
        <v>45297</v>
      </c>
      <c r="L8" s="661">
        <f t="shared" ref="L8:L71" ca="1" si="1">IF(YEAR(K8)&lt;$L$7,"",K8)</f>
        <v>45297</v>
      </c>
    </row>
    <row r="9" spans="1:12">
      <c r="B9" s="601">
        <v>44933</v>
      </c>
      <c r="C9" s="601">
        <v>45298</v>
      </c>
      <c r="D9" s="601">
        <v>45662</v>
      </c>
      <c r="E9" s="601">
        <v>46026</v>
      </c>
      <c r="F9" s="601">
        <v>46389</v>
      </c>
      <c r="G9" s="601">
        <v>46754</v>
      </c>
      <c r="H9" s="601">
        <v>47127</v>
      </c>
      <c r="I9" s="601">
        <v>47491</v>
      </c>
      <c r="K9" s="448">
        <f t="shared" ca="1" si="0"/>
        <v>45298</v>
      </c>
      <c r="L9" s="605">
        <f t="shared" ca="1" si="1"/>
        <v>45298</v>
      </c>
    </row>
    <row r="10" spans="1:12">
      <c r="B10" s="601">
        <v>44942</v>
      </c>
      <c r="C10" s="601">
        <v>45305</v>
      </c>
      <c r="D10" s="601">
        <v>45669</v>
      </c>
      <c r="E10" s="601">
        <v>46034</v>
      </c>
      <c r="F10" s="601">
        <v>46390</v>
      </c>
      <c r="G10" s="601">
        <v>46755</v>
      </c>
      <c r="H10" s="601">
        <v>47128</v>
      </c>
      <c r="I10" s="601">
        <v>47492</v>
      </c>
      <c r="K10" s="448">
        <f t="shared" ca="1" si="0"/>
        <v>45305</v>
      </c>
      <c r="L10" s="605">
        <f t="shared" ca="1" si="1"/>
        <v>45305</v>
      </c>
    </row>
    <row r="11" spans="1:12">
      <c r="B11" s="601">
        <v>44943</v>
      </c>
      <c r="C11" s="601">
        <v>45306</v>
      </c>
      <c r="D11" s="601">
        <v>45670</v>
      </c>
      <c r="E11" s="601">
        <v>46035</v>
      </c>
      <c r="F11" s="601">
        <v>46398</v>
      </c>
      <c r="G11" s="601">
        <v>46763</v>
      </c>
      <c r="H11" s="601">
        <v>47136</v>
      </c>
      <c r="I11" s="601">
        <v>47500</v>
      </c>
      <c r="K11" s="448">
        <f t="shared" ca="1" si="0"/>
        <v>45306</v>
      </c>
      <c r="L11" s="605">
        <f t="shared" ca="1" si="1"/>
        <v>45306</v>
      </c>
    </row>
    <row r="12" spans="1:12">
      <c r="B12" s="601">
        <v>44950</v>
      </c>
      <c r="C12" s="601">
        <v>45314</v>
      </c>
      <c r="D12" s="601">
        <v>45679</v>
      </c>
      <c r="E12" s="601">
        <v>46043</v>
      </c>
      <c r="F12" s="601">
        <v>46399</v>
      </c>
      <c r="G12" s="601">
        <v>46764</v>
      </c>
      <c r="H12" s="601">
        <v>47137</v>
      </c>
      <c r="I12" s="601">
        <v>47501</v>
      </c>
      <c r="K12" s="448">
        <f t="shared" ca="1" si="0"/>
        <v>45314</v>
      </c>
      <c r="L12" s="605">
        <f t="shared" ca="1" si="1"/>
        <v>45314</v>
      </c>
    </row>
    <row r="13" spans="1:12">
      <c r="B13" s="601">
        <v>44951</v>
      </c>
      <c r="C13" s="601">
        <v>45315</v>
      </c>
      <c r="D13" s="601">
        <v>45680</v>
      </c>
      <c r="E13" s="601">
        <v>46044</v>
      </c>
      <c r="F13" s="601">
        <v>46400</v>
      </c>
      <c r="G13" s="601">
        <v>46771</v>
      </c>
      <c r="H13" s="601">
        <v>47145</v>
      </c>
      <c r="I13" s="601">
        <v>47502</v>
      </c>
      <c r="K13" s="448">
        <f t="shared" ca="1" si="0"/>
        <v>45315</v>
      </c>
      <c r="L13" s="605">
        <f t="shared" ca="1" si="1"/>
        <v>45315</v>
      </c>
    </row>
    <row r="14" spans="1:12">
      <c r="B14" s="601">
        <v>44959</v>
      </c>
      <c r="C14" s="601">
        <v>45324</v>
      </c>
      <c r="D14" s="601">
        <v>45688</v>
      </c>
      <c r="E14" s="601">
        <v>46045</v>
      </c>
      <c r="F14" s="601">
        <v>46407</v>
      </c>
      <c r="G14" s="601">
        <v>46772</v>
      </c>
      <c r="H14" s="601">
        <v>47146</v>
      </c>
      <c r="I14" s="601">
        <v>47509</v>
      </c>
      <c r="K14" s="448">
        <f t="shared" ca="1" si="0"/>
        <v>45324</v>
      </c>
      <c r="L14" s="605">
        <f t="shared" ca="1" si="1"/>
        <v>45324</v>
      </c>
    </row>
    <row r="15" spans="1:12">
      <c r="B15" s="601">
        <v>44960</v>
      </c>
      <c r="C15" s="601">
        <v>45325</v>
      </c>
      <c r="D15" s="601">
        <v>45689</v>
      </c>
      <c r="E15" s="601">
        <v>46052</v>
      </c>
      <c r="F15" s="601">
        <v>46408</v>
      </c>
      <c r="G15" s="601">
        <v>46416</v>
      </c>
      <c r="H15" s="601">
        <v>47147</v>
      </c>
      <c r="I15" s="601">
        <v>47510</v>
      </c>
      <c r="K15" s="448">
        <f t="shared" ca="1" si="0"/>
        <v>45325</v>
      </c>
      <c r="L15" s="605">
        <f t="shared" ca="1" si="1"/>
        <v>45325</v>
      </c>
    </row>
    <row r="16" spans="1:12">
      <c r="B16" s="601">
        <v>44969</v>
      </c>
      <c r="C16" s="601">
        <v>45333</v>
      </c>
      <c r="D16" s="601">
        <v>45696</v>
      </c>
      <c r="E16" s="601">
        <v>46053</v>
      </c>
      <c r="F16" s="601">
        <v>46416</v>
      </c>
      <c r="G16" s="601">
        <v>46417</v>
      </c>
      <c r="H16" s="601">
        <v>47154</v>
      </c>
      <c r="I16" s="601">
        <v>47518</v>
      </c>
      <c r="K16" s="448">
        <f t="shared" ca="1" si="0"/>
        <v>45333</v>
      </c>
      <c r="L16" s="605">
        <f t="shared" ca="1" si="1"/>
        <v>45333</v>
      </c>
    </row>
    <row r="17" spans="2:12">
      <c r="B17" s="601">
        <v>44970</v>
      </c>
      <c r="C17" s="601">
        <v>45334</v>
      </c>
      <c r="D17" s="601">
        <v>45697</v>
      </c>
      <c r="E17" s="601">
        <v>46061</v>
      </c>
      <c r="F17" s="601">
        <v>46417</v>
      </c>
      <c r="G17" s="601">
        <v>46790</v>
      </c>
      <c r="H17" s="601">
        <v>47155</v>
      </c>
      <c r="I17" s="601">
        <v>47529</v>
      </c>
      <c r="K17" s="448">
        <f t="shared" ca="1" si="0"/>
        <v>45334</v>
      </c>
      <c r="L17" s="605">
        <f t="shared" ca="1" si="1"/>
        <v>45334</v>
      </c>
    </row>
    <row r="18" spans="2:12">
      <c r="B18" s="601">
        <v>44977</v>
      </c>
      <c r="C18" s="601">
        <v>45341</v>
      </c>
      <c r="D18" s="601">
        <v>45698</v>
      </c>
      <c r="E18" s="601">
        <v>46062</v>
      </c>
      <c r="F18" s="601">
        <v>46426</v>
      </c>
      <c r="G18" s="601">
        <v>46791</v>
      </c>
      <c r="H18" s="601">
        <v>47163</v>
      </c>
      <c r="I18" s="601">
        <v>47537</v>
      </c>
      <c r="K18" s="448">
        <f t="shared" ca="1" si="0"/>
        <v>45341</v>
      </c>
      <c r="L18" s="605">
        <f t="shared" ca="1" si="1"/>
        <v>45341</v>
      </c>
    </row>
    <row r="19" spans="2:12">
      <c r="B19" s="601">
        <v>44978</v>
      </c>
      <c r="C19" s="601">
        <v>45342</v>
      </c>
      <c r="D19" s="601">
        <v>45706</v>
      </c>
      <c r="E19" s="601">
        <v>46071</v>
      </c>
      <c r="F19" s="601">
        <v>46427</v>
      </c>
      <c r="G19" s="601">
        <v>46798</v>
      </c>
      <c r="H19" s="601">
        <v>47164</v>
      </c>
      <c r="I19" s="601">
        <v>47538</v>
      </c>
      <c r="K19" s="448">
        <f t="shared" ca="1" si="0"/>
        <v>45342</v>
      </c>
      <c r="L19" s="605">
        <f t="shared" ca="1" si="1"/>
        <v>45342</v>
      </c>
    </row>
    <row r="20" spans="2:12">
      <c r="B20" s="601">
        <v>44986</v>
      </c>
      <c r="C20" s="601">
        <v>45343</v>
      </c>
      <c r="D20" s="601">
        <v>45707</v>
      </c>
      <c r="E20" s="601">
        <v>46072</v>
      </c>
      <c r="F20" s="601">
        <v>46435</v>
      </c>
      <c r="G20" s="601">
        <v>46799</v>
      </c>
      <c r="H20" s="601">
        <v>47173</v>
      </c>
      <c r="I20" s="601">
        <v>47545</v>
      </c>
      <c r="K20" s="448">
        <f t="shared" ca="1" si="0"/>
        <v>45343</v>
      </c>
      <c r="L20" s="605">
        <f t="shared" ca="1" si="1"/>
        <v>45343</v>
      </c>
    </row>
    <row r="21" spans="2:12">
      <c r="B21" s="601">
        <v>44987</v>
      </c>
      <c r="C21" s="601">
        <v>45351</v>
      </c>
      <c r="D21" s="601">
        <v>45708</v>
      </c>
      <c r="E21" s="601">
        <v>46079</v>
      </c>
      <c r="F21" s="601">
        <v>46436</v>
      </c>
      <c r="G21" s="601">
        <v>46800</v>
      </c>
      <c r="H21" s="601">
        <v>47174</v>
      </c>
      <c r="I21" s="601">
        <v>47546</v>
      </c>
      <c r="K21" s="448">
        <f t="shared" ca="1" si="0"/>
        <v>45351</v>
      </c>
      <c r="L21" s="605">
        <f t="shared" ca="1" si="1"/>
        <v>45351</v>
      </c>
    </row>
    <row r="22" spans="2:12">
      <c r="B22" s="601">
        <v>44988</v>
      </c>
      <c r="C22" s="601">
        <v>45352</v>
      </c>
      <c r="D22" s="601">
        <v>45715</v>
      </c>
      <c r="E22" s="601">
        <v>46080</v>
      </c>
      <c r="F22" s="601">
        <v>46443</v>
      </c>
      <c r="G22" s="601">
        <v>46808</v>
      </c>
      <c r="H22" s="601">
        <v>47181</v>
      </c>
      <c r="I22" s="601">
        <v>47547</v>
      </c>
      <c r="K22" s="448">
        <f t="shared" ca="1" si="0"/>
        <v>45352</v>
      </c>
      <c r="L22" s="605">
        <f t="shared" ca="1" si="1"/>
        <v>45352</v>
      </c>
    </row>
    <row r="23" spans="2:12">
      <c r="B23" s="601">
        <v>44996</v>
      </c>
      <c r="C23" s="601">
        <v>45353</v>
      </c>
      <c r="D23" s="601">
        <v>45716</v>
      </c>
      <c r="E23" s="601">
        <v>46088</v>
      </c>
      <c r="F23" s="601">
        <v>46444</v>
      </c>
      <c r="G23" s="601">
        <v>46809</v>
      </c>
      <c r="H23" s="601">
        <v>47182</v>
      </c>
      <c r="I23" s="601">
        <v>47555</v>
      </c>
      <c r="K23" s="448">
        <f t="shared" ca="1" si="0"/>
        <v>45353</v>
      </c>
      <c r="L23" s="605">
        <f t="shared" ca="1" si="1"/>
        <v>45353</v>
      </c>
    </row>
    <row r="24" spans="2:12">
      <c r="B24" s="601">
        <v>44997</v>
      </c>
      <c r="C24" s="601">
        <v>45360</v>
      </c>
      <c r="D24" s="601">
        <v>45724</v>
      </c>
      <c r="E24" s="601">
        <v>46089</v>
      </c>
      <c r="F24" s="601">
        <v>46445</v>
      </c>
      <c r="G24" s="601">
        <v>46818</v>
      </c>
      <c r="H24" s="601">
        <v>47190</v>
      </c>
      <c r="I24" s="601">
        <v>47556</v>
      </c>
      <c r="K24" s="448">
        <f t="shared" ca="1" si="0"/>
        <v>45360</v>
      </c>
      <c r="L24" s="605">
        <f t="shared" ca="1" si="1"/>
        <v>45360</v>
      </c>
    </row>
    <row r="25" spans="2:12">
      <c r="B25" s="601">
        <v>45005</v>
      </c>
      <c r="C25" s="601">
        <v>45361</v>
      </c>
      <c r="D25" s="601">
        <v>45725</v>
      </c>
      <c r="E25" s="601">
        <v>46090</v>
      </c>
      <c r="F25" s="601">
        <v>46453</v>
      </c>
      <c r="G25" s="601">
        <v>46819</v>
      </c>
      <c r="H25" s="601">
        <v>47191</v>
      </c>
      <c r="I25" s="601">
        <v>47564</v>
      </c>
      <c r="K25" s="448">
        <f t="shared" ca="1" si="0"/>
        <v>45361</v>
      </c>
      <c r="L25" s="605">
        <f t="shared" ca="1" si="1"/>
        <v>45361</v>
      </c>
    </row>
    <row r="26" spans="2:12">
      <c r="B26" s="601">
        <v>45006</v>
      </c>
      <c r="C26" s="601">
        <v>45368</v>
      </c>
      <c r="D26" s="601">
        <v>45733</v>
      </c>
      <c r="E26" s="601">
        <v>46098</v>
      </c>
      <c r="F26" s="601">
        <v>46454</v>
      </c>
      <c r="G26" s="601">
        <v>46826</v>
      </c>
      <c r="H26" s="601">
        <v>47192</v>
      </c>
      <c r="I26" s="601">
        <v>47565</v>
      </c>
      <c r="K26" s="448">
        <f t="shared" ca="1" si="0"/>
        <v>45368</v>
      </c>
      <c r="L26" s="605">
        <f t="shared" ca="1" si="1"/>
        <v>45368</v>
      </c>
    </row>
    <row r="27" spans="2:12">
      <c r="B27" s="601">
        <v>45013</v>
      </c>
      <c r="C27" s="601">
        <v>45369</v>
      </c>
      <c r="D27" s="601">
        <v>45734</v>
      </c>
      <c r="E27" s="601">
        <v>46099</v>
      </c>
      <c r="F27" s="601">
        <v>46462</v>
      </c>
      <c r="G27" s="601">
        <v>46827</v>
      </c>
      <c r="H27" s="601">
        <v>47200</v>
      </c>
      <c r="I27" s="601">
        <v>47573</v>
      </c>
      <c r="K27" s="448">
        <f t="shared" ca="1" si="0"/>
        <v>45369</v>
      </c>
      <c r="L27" s="605">
        <f t="shared" ca="1" si="1"/>
        <v>45369</v>
      </c>
    </row>
    <row r="28" spans="2:12">
      <c r="B28" s="601">
        <v>45014</v>
      </c>
      <c r="C28" s="601">
        <v>45370</v>
      </c>
      <c r="D28" s="601">
        <v>45735</v>
      </c>
      <c r="E28" s="601">
        <v>46106</v>
      </c>
      <c r="F28" s="601">
        <v>46463</v>
      </c>
      <c r="G28" s="601">
        <v>46835</v>
      </c>
      <c r="H28" s="601">
        <v>47201</v>
      </c>
      <c r="I28" s="601">
        <v>47574</v>
      </c>
      <c r="K28" s="448">
        <f t="shared" ca="1" si="0"/>
        <v>45370</v>
      </c>
      <c r="L28" s="605">
        <f t="shared" ca="1" si="1"/>
        <v>45370</v>
      </c>
    </row>
    <row r="29" spans="2:12">
      <c r="B29" s="601">
        <v>45015</v>
      </c>
      <c r="C29" s="601">
        <v>45378</v>
      </c>
      <c r="D29" s="601">
        <v>45743</v>
      </c>
      <c r="E29" s="601">
        <v>46107</v>
      </c>
      <c r="F29" s="601">
        <v>46471</v>
      </c>
      <c r="G29" s="601">
        <v>46836</v>
      </c>
      <c r="H29" s="601">
        <v>47209</v>
      </c>
      <c r="I29" s="601">
        <v>47582</v>
      </c>
      <c r="K29" s="448">
        <f t="shared" ca="1" si="0"/>
        <v>45378</v>
      </c>
      <c r="L29" s="605">
        <f t="shared" ca="1" si="1"/>
        <v>45378</v>
      </c>
    </row>
    <row r="30" spans="2:12">
      <c r="B30" s="601">
        <v>45023</v>
      </c>
      <c r="C30" s="601">
        <v>45379</v>
      </c>
      <c r="D30" s="601">
        <v>45744</v>
      </c>
      <c r="E30" s="601">
        <v>46108</v>
      </c>
      <c r="F30" s="601">
        <v>46472</v>
      </c>
      <c r="G30" s="601">
        <v>46837</v>
      </c>
      <c r="H30" s="601">
        <v>47210</v>
      </c>
      <c r="I30" s="601">
        <v>47583</v>
      </c>
      <c r="K30" s="448">
        <f t="shared" ca="1" si="0"/>
        <v>45379</v>
      </c>
      <c r="L30" s="605">
        <f t="shared" ca="1" si="1"/>
        <v>45379</v>
      </c>
    </row>
    <row r="31" spans="2:12">
      <c r="B31" s="601">
        <v>45024</v>
      </c>
      <c r="C31" s="601">
        <v>45380</v>
      </c>
      <c r="D31" s="601">
        <v>45751</v>
      </c>
      <c r="E31" s="601">
        <v>46116</v>
      </c>
      <c r="F31" s="601">
        <v>46480</v>
      </c>
      <c r="G31" s="601">
        <v>46845</v>
      </c>
      <c r="H31" s="601">
        <v>47217</v>
      </c>
      <c r="I31" s="601">
        <v>47584</v>
      </c>
      <c r="K31" s="448">
        <f t="shared" ca="1" si="0"/>
        <v>45380</v>
      </c>
      <c r="L31" s="605">
        <f t="shared" ca="1" si="1"/>
        <v>45380</v>
      </c>
    </row>
    <row r="32" spans="2:12">
      <c r="B32" s="601">
        <v>45025</v>
      </c>
      <c r="C32" s="601">
        <v>45388</v>
      </c>
      <c r="D32" s="601">
        <v>45752</v>
      </c>
      <c r="E32" s="601">
        <v>46117</v>
      </c>
      <c r="F32" s="601">
        <v>46481</v>
      </c>
      <c r="G32" s="601">
        <v>46846</v>
      </c>
      <c r="H32" s="601">
        <v>47218</v>
      </c>
      <c r="I32" s="601">
        <v>47591</v>
      </c>
      <c r="K32" s="448">
        <f t="shared" ca="1" si="0"/>
        <v>45388</v>
      </c>
      <c r="L32" s="605">
        <f t="shared" ca="1" si="1"/>
        <v>45388</v>
      </c>
    </row>
    <row r="33" spans="2:12">
      <c r="B33" s="601">
        <v>45032</v>
      </c>
      <c r="C33" s="601">
        <v>45389</v>
      </c>
      <c r="D33" s="601">
        <v>45761</v>
      </c>
      <c r="E33" s="601">
        <v>46125</v>
      </c>
      <c r="F33" s="601">
        <v>46482</v>
      </c>
      <c r="G33" s="601">
        <v>46853</v>
      </c>
      <c r="H33" s="601">
        <v>47219</v>
      </c>
      <c r="I33" s="601">
        <v>47561</v>
      </c>
      <c r="K33" s="448">
        <f t="shared" ca="1" si="0"/>
        <v>45389</v>
      </c>
      <c r="L33" s="605">
        <f t="shared" ca="1" si="1"/>
        <v>45389</v>
      </c>
    </row>
    <row r="34" spans="2:12">
      <c r="B34" s="601">
        <v>45033</v>
      </c>
      <c r="C34" s="601">
        <v>45396</v>
      </c>
      <c r="D34" s="601">
        <v>45762</v>
      </c>
      <c r="E34" s="601">
        <v>46126</v>
      </c>
      <c r="F34" s="601">
        <v>46489</v>
      </c>
      <c r="G34" s="601">
        <v>46854</v>
      </c>
      <c r="H34" s="601">
        <v>47227</v>
      </c>
      <c r="I34" s="601">
        <v>47600</v>
      </c>
      <c r="K34" s="448">
        <f t="shared" ca="1" si="0"/>
        <v>45396</v>
      </c>
      <c r="L34" s="605">
        <f t="shared" ca="1" si="1"/>
        <v>45396</v>
      </c>
    </row>
    <row r="35" spans="2:12">
      <c r="B35" s="601">
        <v>45041</v>
      </c>
      <c r="C35" s="601">
        <v>45397</v>
      </c>
      <c r="D35" s="601">
        <v>45770</v>
      </c>
      <c r="E35" s="601">
        <v>46127</v>
      </c>
      <c r="F35" s="601">
        <v>46490</v>
      </c>
      <c r="G35" s="601">
        <v>46863</v>
      </c>
      <c r="H35" s="601">
        <v>47228</v>
      </c>
      <c r="I35" s="601">
        <v>47601</v>
      </c>
      <c r="K35" s="448">
        <f t="shared" ca="1" si="0"/>
        <v>45397</v>
      </c>
      <c r="L35" s="605">
        <f t="shared" ca="1" si="1"/>
        <v>45397</v>
      </c>
    </row>
    <row r="36" spans="2:12">
      <c r="B36" s="601">
        <v>45042</v>
      </c>
      <c r="C36" s="601">
        <v>45406</v>
      </c>
      <c r="D36" s="601">
        <v>45771</v>
      </c>
      <c r="E36" s="601">
        <v>46134</v>
      </c>
      <c r="F36" s="601">
        <v>46498</v>
      </c>
      <c r="G36" s="601">
        <v>46864</v>
      </c>
      <c r="H36" s="601">
        <v>47229</v>
      </c>
      <c r="I36" s="601">
        <v>47610</v>
      </c>
      <c r="K36" s="448">
        <f t="shared" ca="1" si="0"/>
        <v>45406</v>
      </c>
      <c r="L36" s="605">
        <f t="shared" ca="1" si="1"/>
        <v>45406</v>
      </c>
    </row>
    <row r="37" spans="2:12">
      <c r="B37" s="601">
        <v>45051</v>
      </c>
      <c r="C37" s="601">
        <v>45407</v>
      </c>
      <c r="D37" s="601">
        <v>45778</v>
      </c>
      <c r="E37" s="601">
        <v>46135</v>
      </c>
      <c r="F37" s="601">
        <v>46499</v>
      </c>
      <c r="G37" s="601">
        <v>46872</v>
      </c>
      <c r="H37" s="601">
        <v>47236</v>
      </c>
      <c r="I37" s="601">
        <v>47611</v>
      </c>
      <c r="K37" s="448">
        <f t="shared" ca="1" si="0"/>
        <v>45407</v>
      </c>
      <c r="L37" s="605">
        <f t="shared" ca="1" si="1"/>
        <v>45407</v>
      </c>
    </row>
    <row r="38" spans="2:12">
      <c r="B38" s="601">
        <v>45052</v>
      </c>
      <c r="C38" s="601">
        <v>45415</v>
      </c>
      <c r="D38" s="601">
        <v>45779</v>
      </c>
      <c r="E38" s="601">
        <v>46143</v>
      </c>
      <c r="F38" s="601">
        <v>46508</v>
      </c>
      <c r="G38" s="601">
        <v>46873</v>
      </c>
      <c r="H38" s="601">
        <v>47237</v>
      </c>
      <c r="I38" s="601">
        <v>47619</v>
      </c>
      <c r="K38" s="448">
        <f t="shared" ca="1" si="0"/>
        <v>45415</v>
      </c>
      <c r="L38" s="605">
        <f t="shared" ca="1" si="1"/>
        <v>45415</v>
      </c>
    </row>
    <row r="39" spans="2:12">
      <c r="B39" s="601">
        <v>45059</v>
      </c>
      <c r="C39" s="601">
        <v>45416</v>
      </c>
      <c r="D39" s="601">
        <v>45780</v>
      </c>
      <c r="E39" s="601">
        <v>46144</v>
      </c>
      <c r="F39" s="601">
        <v>46509</v>
      </c>
      <c r="G39" s="601">
        <v>46881</v>
      </c>
      <c r="H39" s="601">
        <v>47245</v>
      </c>
      <c r="I39" s="601">
        <v>47620</v>
      </c>
      <c r="K39" s="448">
        <f t="shared" ca="1" si="0"/>
        <v>45416</v>
      </c>
      <c r="L39" s="605">
        <f t="shared" ca="1" si="1"/>
        <v>45416</v>
      </c>
    </row>
    <row r="40" spans="2:12">
      <c r="B40" s="601">
        <v>45060</v>
      </c>
      <c r="C40" s="601">
        <v>45423</v>
      </c>
      <c r="D40" s="601">
        <v>45788</v>
      </c>
      <c r="E40" s="601">
        <v>46153</v>
      </c>
      <c r="F40" s="601">
        <v>46517</v>
      </c>
      <c r="G40" s="601">
        <v>46882</v>
      </c>
      <c r="H40" s="601">
        <v>47246</v>
      </c>
      <c r="I40" s="601">
        <v>47627</v>
      </c>
      <c r="K40" s="448">
        <f t="shared" ca="1" si="0"/>
        <v>45423</v>
      </c>
      <c r="L40" s="605">
        <f t="shared" ca="1" si="1"/>
        <v>45423</v>
      </c>
    </row>
    <row r="41" spans="2:12">
      <c r="B41" s="601">
        <v>45068</v>
      </c>
      <c r="C41" s="601">
        <v>45424</v>
      </c>
      <c r="D41" s="601">
        <v>45789</v>
      </c>
      <c r="E41" s="601">
        <v>46154</v>
      </c>
      <c r="F41" s="601">
        <v>46518</v>
      </c>
      <c r="G41" s="601">
        <v>46890</v>
      </c>
      <c r="H41" s="601">
        <v>47255</v>
      </c>
      <c r="I41" s="601">
        <v>47628</v>
      </c>
      <c r="K41" s="448">
        <f t="shared" ca="1" si="0"/>
        <v>45424</v>
      </c>
      <c r="L41" s="605">
        <f t="shared" ca="1" si="1"/>
        <v>45424</v>
      </c>
    </row>
    <row r="42" spans="2:12">
      <c r="B42" s="601">
        <v>45069</v>
      </c>
      <c r="C42" s="601">
        <v>45433</v>
      </c>
      <c r="D42" s="601">
        <v>45798</v>
      </c>
      <c r="E42" s="601">
        <v>46161</v>
      </c>
      <c r="F42" s="601">
        <v>46525</v>
      </c>
      <c r="G42" s="601">
        <v>46891</v>
      </c>
      <c r="H42" s="601">
        <v>47256</v>
      </c>
      <c r="I42" s="601">
        <v>47637</v>
      </c>
      <c r="K42" s="448">
        <f t="shared" ca="1" si="0"/>
        <v>45433</v>
      </c>
      <c r="L42" s="605">
        <f t="shared" ca="1" si="1"/>
        <v>45433</v>
      </c>
    </row>
    <row r="43" spans="2:12">
      <c r="B43" s="601">
        <v>45070</v>
      </c>
      <c r="C43" s="601">
        <v>45434</v>
      </c>
      <c r="D43" s="601">
        <v>45799</v>
      </c>
      <c r="E43" s="601">
        <v>46162</v>
      </c>
      <c r="F43" s="601">
        <v>46526</v>
      </c>
      <c r="G43" s="601">
        <v>46899</v>
      </c>
      <c r="H43" s="601">
        <v>47263</v>
      </c>
      <c r="I43" s="601">
        <v>47638</v>
      </c>
      <c r="K43" s="448">
        <f t="shared" ca="1" si="0"/>
        <v>45434</v>
      </c>
      <c r="L43" s="605">
        <f t="shared" ca="1" si="1"/>
        <v>45434</v>
      </c>
    </row>
    <row r="44" spans="2:12">
      <c r="B44" s="601">
        <v>45078</v>
      </c>
      <c r="C44" s="601">
        <v>45442</v>
      </c>
      <c r="D44" s="601">
        <v>45806</v>
      </c>
      <c r="E44" s="601">
        <v>46170</v>
      </c>
      <c r="F44" s="601">
        <v>46527</v>
      </c>
      <c r="G44" s="601">
        <v>46900</v>
      </c>
      <c r="H44" s="601">
        <v>47264</v>
      </c>
      <c r="I44" s="601">
        <v>47646</v>
      </c>
      <c r="K44" s="448">
        <f t="shared" ca="1" si="0"/>
        <v>45442</v>
      </c>
      <c r="L44" s="605">
        <f t="shared" ca="1" si="1"/>
        <v>45442</v>
      </c>
    </row>
    <row r="45" spans="2:12">
      <c r="B45" s="601">
        <v>45079</v>
      </c>
      <c r="C45" s="601">
        <v>45443</v>
      </c>
      <c r="D45" s="601">
        <v>45807</v>
      </c>
      <c r="E45" s="601">
        <v>46171</v>
      </c>
      <c r="F45" s="601">
        <v>46535</v>
      </c>
      <c r="G45" s="601">
        <v>46908</v>
      </c>
      <c r="H45" s="601">
        <v>47272</v>
      </c>
      <c r="I45" s="601">
        <v>47647</v>
      </c>
      <c r="K45" s="448">
        <f t="shared" ca="1" si="0"/>
        <v>45443</v>
      </c>
      <c r="L45" s="605">
        <f t="shared" ca="1" si="1"/>
        <v>45443</v>
      </c>
    </row>
    <row r="46" spans="2:12">
      <c r="B46" s="601">
        <v>45087</v>
      </c>
      <c r="C46" s="601">
        <v>45451</v>
      </c>
      <c r="D46" s="601">
        <v>45815</v>
      </c>
      <c r="E46" s="601">
        <v>46172</v>
      </c>
      <c r="F46" s="601">
        <v>46536</v>
      </c>
      <c r="G46" s="601">
        <v>46909</v>
      </c>
      <c r="H46" s="601">
        <v>47273</v>
      </c>
      <c r="I46" s="601">
        <v>47654</v>
      </c>
      <c r="K46" s="448">
        <f t="shared" ca="1" si="0"/>
        <v>45451</v>
      </c>
      <c r="L46" s="605">
        <f t="shared" ca="1" si="1"/>
        <v>45451</v>
      </c>
    </row>
    <row r="47" spans="2:12">
      <c r="B47" s="601">
        <v>45088</v>
      </c>
      <c r="C47" s="601">
        <v>45452</v>
      </c>
      <c r="D47" s="601">
        <v>45816</v>
      </c>
      <c r="E47" s="601">
        <v>46180</v>
      </c>
      <c r="F47" s="601">
        <v>46537</v>
      </c>
      <c r="G47" s="601">
        <v>46917</v>
      </c>
      <c r="H47" s="601">
        <v>47274</v>
      </c>
      <c r="I47" s="601">
        <v>47655</v>
      </c>
      <c r="K47" s="448">
        <f t="shared" ca="1" si="0"/>
        <v>45452</v>
      </c>
      <c r="L47" s="605">
        <f t="shared" ca="1" si="1"/>
        <v>45452</v>
      </c>
    </row>
    <row r="48" spans="2:12">
      <c r="B48" s="601">
        <v>45096</v>
      </c>
      <c r="C48" s="601">
        <v>45460</v>
      </c>
      <c r="D48" s="601">
        <v>45817</v>
      </c>
      <c r="E48" s="601">
        <v>46181</v>
      </c>
      <c r="F48" s="601">
        <v>46544</v>
      </c>
      <c r="G48" s="601">
        <v>46918</v>
      </c>
      <c r="H48" s="601">
        <v>47282</v>
      </c>
      <c r="I48" s="601">
        <v>47656</v>
      </c>
      <c r="K48" s="448">
        <f t="shared" ca="1" si="0"/>
        <v>45460</v>
      </c>
      <c r="L48" s="605">
        <f t="shared" ca="1" si="1"/>
        <v>45460</v>
      </c>
    </row>
    <row r="49" spans="2:12">
      <c r="B49" s="601">
        <v>45097</v>
      </c>
      <c r="C49" s="601">
        <v>45461</v>
      </c>
      <c r="D49" s="601">
        <v>45825</v>
      </c>
      <c r="E49" s="601">
        <v>46189</v>
      </c>
      <c r="F49" s="601">
        <v>46545</v>
      </c>
      <c r="G49" s="601">
        <v>46919</v>
      </c>
      <c r="H49" s="601">
        <v>47283</v>
      </c>
      <c r="I49" s="601">
        <v>47664</v>
      </c>
      <c r="K49" s="448">
        <f t="shared" ca="1" si="0"/>
        <v>45461</v>
      </c>
      <c r="L49" s="605">
        <f t="shared" ca="1" si="1"/>
        <v>45461</v>
      </c>
    </row>
    <row r="50" spans="2:12">
      <c r="B50" s="601">
        <v>45106</v>
      </c>
      <c r="C50" s="601">
        <v>45462</v>
      </c>
      <c r="D50" s="601">
        <v>45826</v>
      </c>
      <c r="E50" s="601">
        <v>46190</v>
      </c>
      <c r="F50" s="601">
        <v>46552</v>
      </c>
      <c r="G50" s="601">
        <v>46927</v>
      </c>
      <c r="H50" s="601">
        <v>47291</v>
      </c>
      <c r="I50" s="601">
        <v>47665</v>
      </c>
      <c r="K50" s="448">
        <f t="shared" ca="1" si="0"/>
        <v>45462</v>
      </c>
      <c r="L50" s="605">
        <f t="shared" ca="1" si="1"/>
        <v>45462</v>
      </c>
    </row>
    <row r="51" spans="2:12">
      <c r="B51" s="601">
        <v>45106</v>
      </c>
      <c r="C51" s="601">
        <v>45469</v>
      </c>
      <c r="D51" s="601">
        <v>45833</v>
      </c>
      <c r="E51" s="601">
        <v>46197</v>
      </c>
      <c r="F51" s="601">
        <v>46553</v>
      </c>
      <c r="G51" s="601">
        <v>46928</v>
      </c>
      <c r="H51" s="601">
        <v>47292</v>
      </c>
      <c r="I51" s="601">
        <v>47666</v>
      </c>
      <c r="K51" s="448">
        <f t="shared" ca="1" si="0"/>
        <v>45469</v>
      </c>
      <c r="L51" s="605">
        <f t="shared" ca="1" si="1"/>
        <v>45469</v>
      </c>
    </row>
    <row r="52" spans="2:12">
      <c r="B52" s="601">
        <v>45107</v>
      </c>
      <c r="C52" s="601">
        <v>45470</v>
      </c>
      <c r="D52" s="601">
        <v>45834</v>
      </c>
      <c r="E52" s="601">
        <v>46198</v>
      </c>
      <c r="F52" s="601">
        <v>46554</v>
      </c>
      <c r="G52" s="601">
        <v>46935</v>
      </c>
      <c r="H52" s="601">
        <v>47299</v>
      </c>
      <c r="I52" s="601">
        <v>47673</v>
      </c>
      <c r="K52" s="448">
        <f t="shared" ca="1" si="0"/>
        <v>45470</v>
      </c>
      <c r="L52" s="605">
        <f t="shared" ca="1" si="1"/>
        <v>45470</v>
      </c>
    </row>
    <row r="53" spans="2:12">
      <c r="B53" s="601">
        <v>45114</v>
      </c>
      <c r="C53" s="601">
        <v>45471</v>
      </c>
      <c r="D53" s="601">
        <v>45842</v>
      </c>
      <c r="E53" s="601">
        <v>46199</v>
      </c>
      <c r="F53" s="601">
        <v>46562</v>
      </c>
      <c r="G53" s="601">
        <v>46936</v>
      </c>
      <c r="H53" s="601">
        <v>47300</v>
      </c>
      <c r="I53" s="601">
        <v>47674</v>
      </c>
      <c r="K53" s="448">
        <f t="shared" ca="1" si="0"/>
        <v>45471</v>
      </c>
      <c r="L53" s="605">
        <f t="shared" ca="1" si="1"/>
        <v>45471</v>
      </c>
    </row>
    <row r="54" spans="2:12">
      <c r="B54" s="601">
        <v>45115</v>
      </c>
      <c r="C54" s="601">
        <v>45478</v>
      </c>
      <c r="D54" s="601">
        <v>45843</v>
      </c>
      <c r="E54" s="601">
        <v>46207</v>
      </c>
      <c r="F54" s="601">
        <v>46563</v>
      </c>
      <c r="G54" s="601">
        <v>46945</v>
      </c>
      <c r="H54" s="601">
        <v>47301</v>
      </c>
      <c r="I54" s="601">
        <v>47675</v>
      </c>
      <c r="K54" s="448">
        <f t="shared" ca="1" si="0"/>
        <v>45478</v>
      </c>
      <c r="L54" s="605">
        <f t="shared" ca="1" si="1"/>
        <v>45478</v>
      </c>
    </row>
    <row r="55" spans="2:12">
      <c r="B55" s="601">
        <v>45123</v>
      </c>
      <c r="C55" s="601">
        <v>45479</v>
      </c>
      <c r="D55" s="601">
        <v>45844</v>
      </c>
      <c r="E55" s="601">
        <v>46208</v>
      </c>
      <c r="F55" s="601">
        <v>46564</v>
      </c>
      <c r="G55" s="601">
        <v>46946</v>
      </c>
      <c r="H55" s="601">
        <v>47309</v>
      </c>
      <c r="I55" s="601">
        <v>47682</v>
      </c>
      <c r="K55" s="448">
        <f t="shared" ca="1" si="0"/>
        <v>45479</v>
      </c>
      <c r="L55" s="605">
        <f t="shared" ca="1" si="1"/>
        <v>45479</v>
      </c>
    </row>
    <row r="56" spans="2:12">
      <c r="B56" s="601">
        <v>45124</v>
      </c>
      <c r="C56" s="601">
        <v>45488</v>
      </c>
      <c r="D56" s="601">
        <v>45852</v>
      </c>
      <c r="E56" s="601">
        <v>46209</v>
      </c>
      <c r="F56" s="601">
        <v>46571</v>
      </c>
      <c r="G56" s="601">
        <v>46954</v>
      </c>
      <c r="H56" s="601">
        <v>47310</v>
      </c>
      <c r="I56" s="601">
        <v>47683</v>
      </c>
      <c r="K56" s="448">
        <f t="shared" ca="1" si="0"/>
        <v>45488</v>
      </c>
      <c r="L56" s="605">
        <f t="shared" ca="1" si="1"/>
        <v>45488</v>
      </c>
    </row>
    <row r="57" spans="2:12">
      <c r="B57" s="601">
        <v>45133</v>
      </c>
      <c r="C57" s="601">
        <v>45489</v>
      </c>
      <c r="D57" s="601">
        <v>45853</v>
      </c>
      <c r="E57" s="601">
        <v>46216</v>
      </c>
      <c r="F57" s="601">
        <v>46572</v>
      </c>
      <c r="G57" s="601">
        <v>46955</v>
      </c>
      <c r="H57" s="601">
        <v>47318</v>
      </c>
      <c r="I57" s="601">
        <v>47692</v>
      </c>
      <c r="K57" s="448">
        <f t="shared" ca="1" si="0"/>
        <v>45489</v>
      </c>
      <c r="L57" s="605">
        <f t="shared" ca="1" si="1"/>
        <v>45489</v>
      </c>
    </row>
    <row r="58" spans="2:12">
      <c r="B58" s="601">
        <v>45134</v>
      </c>
      <c r="C58" s="601">
        <v>45497</v>
      </c>
      <c r="D58" s="601">
        <v>45861</v>
      </c>
      <c r="E58" s="601">
        <v>46217</v>
      </c>
      <c r="F58" s="601">
        <v>46580</v>
      </c>
      <c r="G58" s="601">
        <v>46962</v>
      </c>
      <c r="H58" s="601">
        <v>47319</v>
      </c>
      <c r="I58" s="601">
        <v>47693</v>
      </c>
      <c r="K58" s="448">
        <f t="shared" ca="1" si="0"/>
        <v>45497</v>
      </c>
      <c r="L58" s="605">
        <f t="shared" ca="1" si="1"/>
        <v>45497</v>
      </c>
    </row>
    <row r="59" spans="2:12">
      <c r="B59" s="601">
        <v>45141</v>
      </c>
      <c r="C59" s="601">
        <v>45498</v>
      </c>
      <c r="D59" s="601">
        <v>45862</v>
      </c>
      <c r="E59" s="601">
        <v>46225</v>
      </c>
      <c r="F59" s="601">
        <v>46581</v>
      </c>
      <c r="G59" s="601">
        <v>46963</v>
      </c>
      <c r="H59" s="601">
        <v>47327</v>
      </c>
      <c r="I59" s="601">
        <v>47701</v>
      </c>
      <c r="K59" s="448">
        <f t="shared" ca="1" si="0"/>
        <v>45498</v>
      </c>
      <c r="L59" s="605">
        <f t="shared" ca="1" si="1"/>
        <v>45498</v>
      </c>
    </row>
    <row r="60" spans="2:12">
      <c r="B60" s="601">
        <v>45142</v>
      </c>
      <c r="C60" s="601">
        <v>45505</v>
      </c>
      <c r="D60" s="601">
        <v>45870</v>
      </c>
      <c r="E60" s="601">
        <v>46226</v>
      </c>
      <c r="F60" s="601">
        <v>46590</v>
      </c>
      <c r="G60" s="601">
        <v>46964</v>
      </c>
      <c r="H60" s="601">
        <v>47328</v>
      </c>
      <c r="I60" s="601">
        <v>47702</v>
      </c>
      <c r="K60" s="448">
        <f t="shared" ca="1" si="0"/>
        <v>45505</v>
      </c>
      <c r="L60" s="605">
        <f t="shared" ca="1" si="1"/>
        <v>45505</v>
      </c>
    </row>
    <row r="61" spans="2:12">
      <c r="B61" s="601">
        <v>45150</v>
      </c>
      <c r="C61" s="601">
        <v>45506</v>
      </c>
      <c r="D61" s="601">
        <v>45871</v>
      </c>
      <c r="E61" s="601">
        <v>46235</v>
      </c>
      <c r="F61" s="601">
        <v>46591</v>
      </c>
      <c r="G61" s="601">
        <v>46972</v>
      </c>
      <c r="H61" s="601">
        <v>47337</v>
      </c>
      <c r="I61" s="601">
        <v>47709</v>
      </c>
      <c r="K61" s="448">
        <f t="shared" ca="1" si="0"/>
        <v>45506</v>
      </c>
      <c r="L61" s="605">
        <f t="shared" ca="1" si="1"/>
        <v>45506</v>
      </c>
    </row>
    <row r="62" spans="2:12">
      <c r="B62" s="601">
        <v>45151</v>
      </c>
      <c r="C62" s="601">
        <v>45507</v>
      </c>
      <c r="D62" s="601">
        <v>45879</v>
      </c>
      <c r="E62" s="601">
        <v>46236</v>
      </c>
      <c r="F62" s="601">
        <v>46599</v>
      </c>
      <c r="G62" s="601">
        <v>46973</v>
      </c>
      <c r="H62" s="601">
        <v>47338</v>
      </c>
      <c r="I62" s="601">
        <v>47710</v>
      </c>
      <c r="K62" s="448">
        <f t="shared" ca="1" si="0"/>
        <v>45507</v>
      </c>
      <c r="L62" s="605">
        <f t="shared" ca="1" si="1"/>
        <v>45507</v>
      </c>
    </row>
    <row r="63" spans="2:12">
      <c r="B63" s="601">
        <v>45152</v>
      </c>
      <c r="C63" s="601">
        <v>45515</v>
      </c>
      <c r="D63" s="601">
        <v>45880</v>
      </c>
      <c r="E63" s="601">
        <v>46243</v>
      </c>
      <c r="F63" s="601">
        <v>46600</v>
      </c>
      <c r="G63" s="601">
        <v>46982</v>
      </c>
      <c r="H63" s="601">
        <v>47345</v>
      </c>
      <c r="I63" s="601">
        <v>47719</v>
      </c>
      <c r="K63" s="448">
        <f t="shared" ca="1" si="0"/>
        <v>45515</v>
      </c>
      <c r="L63" s="605">
        <f t="shared" ca="1" si="1"/>
        <v>45515</v>
      </c>
    </row>
    <row r="64" spans="2:12">
      <c r="B64" s="601">
        <v>45160</v>
      </c>
      <c r="C64" s="601">
        <v>45516</v>
      </c>
      <c r="D64" s="601">
        <v>45881</v>
      </c>
      <c r="E64" s="601">
        <v>46244</v>
      </c>
      <c r="F64" s="601">
        <v>46607</v>
      </c>
      <c r="G64" s="601">
        <v>46983</v>
      </c>
      <c r="H64" s="601">
        <v>47346</v>
      </c>
      <c r="I64" s="601">
        <v>47720</v>
      </c>
      <c r="K64" s="448">
        <f t="shared" ca="1" si="0"/>
        <v>45516</v>
      </c>
      <c r="L64" s="605">
        <f t="shared" ca="1" si="1"/>
        <v>45516</v>
      </c>
    </row>
    <row r="65" spans="2:12">
      <c r="B65" s="601">
        <v>45161</v>
      </c>
      <c r="C65" s="601">
        <v>45524</v>
      </c>
      <c r="D65" s="601">
        <v>45888</v>
      </c>
      <c r="E65" s="601">
        <v>46252</v>
      </c>
      <c r="F65" s="601">
        <v>46608</v>
      </c>
      <c r="G65" s="601">
        <v>46990</v>
      </c>
      <c r="H65" s="601">
        <v>47354</v>
      </c>
      <c r="I65" s="601">
        <v>47728</v>
      </c>
      <c r="K65" s="448">
        <f t="shared" ca="1" si="0"/>
        <v>45524</v>
      </c>
      <c r="L65" s="605">
        <f t="shared" ca="1" si="1"/>
        <v>45524</v>
      </c>
    </row>
    <row r="66" spans="2:12">
      <c r="B66" s="601">
        <v>45169</v>
      </c>
      <c r="C66" s="601">
        <v>45525</v>
      </c>
      <c r="D66" s="601">
        <v>45889</v>
      </c>
      <c r="E66" s="601">
        <v>46253</v>
      </c>
      <c r="F66" s="601">
        <v>46617</v>
      </c>
      <c r="G66" s="601">
        <v>46991</v>
      </c>
      <c r="H66" s="601">
        <v>47355</v>
      </c>
      <c r="I66" s="601">
        <v>47729</v>
      </c>
      <c r="K66" s="448">
        <f t="shared" ca="1" si="0"/>
        <v>45525</v>
      </c>
      <c r="L66" s="605">
        <f t="shared" ca="1" si="1"/>
        <v>45525</v>
      </c>
    </row>
    <row r="67" spans="2:12">
      <c r="B67" s="601">
        <v>45170</v>
      </c>
      <c r="C67" s="601">
        <v>45532</v>
      </c>
      <c r="D67" s="601">
        <v>45897</v>
      </c>
      <c r="E67" s="601">
        <v>46263</v>
      </c>
      <c r="F67" s="601">
        <v>46618</v>
      </c>
      <c r="G67" s="601">
        <v>46999</v>
      </c>
      <c r="H67" s="601">
        <v>47356</v>
      </c>
      <c r="I67" s="601">
        <v>47737</v>
      </c>
      <c r="K67" s="448">
        <f t="shared" ca="1" si="0"/>
        <v>45532</v>
      </c>
      <c r="L67" s="605">
        <f t="shared" ca="1" si="1"/>
        <v>45532</v>
      </c>
    </row>
    <row r="68" spans="2:12">
      <c r="B68" s="601">
        <v>45177</v>
      </c>
      <c r="C68" s="601">
        <v>45533</v>
      </c>
      <c r="D68" s="601">
        <v>45898</v>
      </c>
      <c r="E68" s="601">
        <v>46263</v>
      </c>
      <c r="F68" s="601">
        <v>46626</v>
      </c>
      <c r="G68" s="601">
        <v>47000</v>
      </c>
      <c r="H68" s="601">
        <v>47364</v>
      </c>
      <c r="I68" s="601">
        <v>47738</v>
      </c>
      <c r="K68" s="448">
        <f t="shared" ca="1" si="0"/>
        <v>45533</v>
      </c>
      <c r="L68" s="605">
        <f t="shared" ca="1" si="1"/>
        <v>45533</v>
      </c>
    </row>
    <row r="69" spans="2:12">
      <c r="B69" s="601">
        <v>45178</v>
      </c>
      <c r="C69" s="601">
        <v>45534</v>
      </c>
      <c r="D69" s="601">
        <v>45899</v>
      </c>
      <c r="E69" s="601">
        <v>46274</v>
      </c>
      <c r="F69" s="601">
        <v>46627</v>
      </c>
      <c r="G69" s="601">
        <v>47001</v>
      </c>
      <c r="H69" s="601">
        <v>47365</v>
      </c>
      <c r="I69" s="601">
        <v>47746</v>
      </c>
      <c r="K69" s="448">
        <f t="shared" ca="1" si="0"/>
        <v>45534</v>
      </c>
      <c r="L69" s="605">
        <f t="shared" ca="1" si="1"/>
        <v>45534</v>
      </c>
    </row>
    <row r="70" spans="2:12">
      <c r="B70" s="601">
        <v>45179</v>
      </c>
      <c r="C70" s="601">
        <v>45542</v>
      </c>
      <c r="D70" s="601">
        <v>45907</v>
      </c>
      <c r="E70" s="601">
        <v>46272</v>
      </c>
      <c r="F70" s="601">
        <v>46634</v>
      </c>
      <c r="G70" s="601">
        <v>47009</v>
      </c>
      <c r="H70" s="601">
        <v>47372</v>
      </c>
      <c r="I70" s="601">
        <v>47747</v>
      </c>
      <c r="K70" s="448">
        <f t="shared" ca="1" si="0"/>
        <v>45542</v>
      </c>
      <c r="L70" s="605">
        <f t="shared" ca="1" si="1"/>
        <v>45542</v>
      </c>
    </row>
    <row r="71" spans="2:12">
      <c r="B71" s="601">
        <v>45187</v>
      </c>
      <c r="C71" s="601">
        <v>45543</v>
      </c>
      <c r="D71" s="601">
        <v>45908</v>
      </c>
      <c r="E71" s="601">
        <v>46279</v>
      </c>
      <c r="F71" s="601">
        <v>46635</v>
      </c>
      <c r="G71" s="601">
        <v>47010</v>
      </c>
      <c r="H71" s="601">
        <v>47373</v>
      </c>
      <c r="I71" s="601">
        <v>47748</v>
      </c>
      <c r="K71" s="448">
        <f t="shared" ca="1" si="0"/>
        <v>45543</v>
      </c>
      <c r="L71" s="605">
        <f t="shared" ca="1" si="1"/>
        <v>45543</v>
      </c>
    </row>
    <row r="72" spans="2:12">
      <c r="B72" s="601">
        <v>45188</v>
      </c>
      <c r="C72" s="601">
        <v>45544</v>
      </c>
      <c r="D72" s="601">
        <v>45915</v>
      </c>
      <c r="E72" s="601">
        <v>46280</v>
      </c>
      <c r="F72" s="601">
        <v>46636</v>
      </c>
      <c r="G72" s="601">
        <v>47017</v>
      </c>
      <c r="H72" s="601">
        <v>47381</v>
      </c>
      <c r="I72" s="601">
        <v>47755</v>
      </c>
      <c r="K72" s="448">
        <f t="shared" ref="K72:K98" ca="1" si="2">IF($L$7=$B$7,B72,IF($L$7=$C$7,C72,IF($L$7=$D$7,D72,IF($L$7=$E$7,E72,IF($L$7=$F$7,F72,IF($L$7=$G$7,G72))))))</f>
        <v>45544</v>
      </c>
      <c r="L72" s="605">
        <f t="shared" ref="L72:L103" ca="1" si="3">IF(YEAR(K72)&lt;$L$7,"",K72)</f>
        <v>45544</v>
      </c>
    </row>
    <row r="73" spans="2:12">
      <c r="B73" s="601">
        <v>45189</v>
      </c>
      <c r="C73" s="601">
        <v>45551</v>
      </c>
      <c r="D73" s="601">
        <v>45916</v>
      </c>
      <c r="E73" s="601">
        <v>46281</v>
      </c>
      <c r="F73" s="601">
        <v>46644</v>
      </c>
      <c r="G73" s="601">
        <v>47018</v>
      </c>
      <c r="H73" s="601">
        <v>47382</v>
      </c>
      <c r="I73" s="601">
        <v>47756</v>
      </c>
      <c r="K73" s="448">
        <f t="shared" ca="1" si="2"/>
        <v>45551</v>
      </c>
      <c r="L73" s="605">
        <f t="shared" ca="1" si="3"/>
        <v>45551</v>
      </c>
    </row>
    <row r="74" spans="2:12">
      <c r="B74" s="601">
        <v>45196</v>
      </c>
      <c r="C74" s="601">
        <v>45552</v>
      </c>
      <c r="D74" s="601">
        <v>45924</v>
      </c>
      <c r="E74" s="601">
        <v>46289</v>
      </c>
      <c r="F74" s="601">
        <v>46645</v>
      </c>
      <c r="G74" s="601">
        <v>47026</v>
      </c>
      <c r="H74" s="601">
        <v>47383</v>
      </c>
      <c r="I74" s="601">
        <v>47764</v>
      </c>
      <c r="K74" s="448">
        <f t="shared" ca="1" si="2"/>
        <v>45552</v>
      </c>
      <c r="L74" s="605">
        <f t="shared" ca="1" si="3"/>
        <v>45552</v>
      </c>
    </row>
    <row r="75" spans="2:12">
      <c r="B75" s="601">
        <v>45197</v>
      </c>
      <c r="C75" s="601">
        <v>45553</v>
      </c>
      <c r="D75" s="601">
        <v>45925</v>
      </c>
      <c r="E75" s="601">
        <v>46290</v>
      </c>
      <c r="F75" s="601">
        <v>46646</v>
      </c>
      <c r="G75" s="601">
        <v>47027</v>
      </c>
      <c r="H75" s="601">
        <v>47391</v>
      </c>
      <c r="I75" s="601">
        <v>47765</v>
      </c>
      <c r="K75" s="448">
        <f t="shared" ca="1" si="2"/>
        <v>45553</v>
      </c>
      <c r="L75" s="605">
        <f t="shared" ca="1" si="3"/>
        <v>45553</v>
      </c>
    </row>
    <row r="76" spans="2:12">
      <c r="B76" s="601">
        <v>45205</v>
      </c>
      <c r="C76" s="601">
        <v>45560</v>
      </c>
      <c r="D76" s="601">
        <v>45926</v>
      </c>
      <c r="E76" s="601">
        <v>46291</v>
      </c>
      <c r="F76" s="601">
        <v>46654</v>
      </c>
      <c r="G76" s="601">
        <v>47028</v>
      </c>
      <c r="H76" s="601">
        <v>47392</v>
      </c>
      <c r="I76" s="601">
        <v>47774</v>
      </c>
      <c r="K76" s="448">
        <f t="shared" ca="1" si="2"/>
        <v>45560</v>
      </c>
      <c r="L76" s="605">
        <f t="shared" ca="1" si="3"/>
        <v>45560</v>
      </c>
    </row>
    <row r="77" spans="2:12">
      <c r="B77" s="601">
        <v>45206</v>
      </c>
      <c r="C77" s="601">
        <v>45561</v>
      </c>
      <c r="D77" s="601">
        <v>45934</v>
      </c>
      <c r="E77" s="601">
        <v>46298</v>
      </c>
      <c r="F77" s="601">
        <v>46655</v>
      </c>
      <c r="G77" s="601">
        <v>47036</v>
      </c>
      <c r="H77" s="601">
        <v>47393</v>
      </c>
      <c r="I77" s="601">
        <v>47775</v>
      </c>
      <c r="K77" s="448">
        <f t="shared" ca="1" si="2"/>
        <v>45561</v>
      </c>
      <c r="L77" s="605">
        <f t="shared" ca="1" si="3"/>
        <v>45561</v>
      </c>
    </row>
    <row r="78" spans="2:12">
      <c r="B78" s="601">
        <v>45215</v>
      </c>
      <c r="C78" s="601">
        <v>45570</v>
      </c>
      <c r="D78" s="601">
        <v>45935</v>
      </c>
      <c r="E78" s="601">
        <v>46299</v>
      </c>
      <c r="F78" s="601">
        <v>46662</v>
      </c>
      <c r="G78" s="601">
        <v>47037</v>
      </c>
      <c r="H78" s="601">
        <v>47400</v>
      </c>
      <c r="I78" s="601">
        <v>47783</v>
      </c>
      <c r="K78" s="448">
        <f t="shared" ca="1" si="2"/>
        <v>45570</v>
      </c>
      <c r="L78" s="605">
        <f t="shared" ca="1" si="3"/>
        <v>45570</v>
      </c>
    </row>
    <row r="79" spans="2:12">
      <c r="B79" s="601">
        <v>45216</v>
      </c>
      <c r="C79" s="601">
        <v>45571</v>
      </c>
      <c r="D79" s="601">
        <v>45942</v>
      </c>
      <c r="E79" s="601">
        <v>46307</v>
      </c>
      <c r="F79" s="601">
        <v>46663</v>
      </c>
      <c r="G79" s="601">
        <v>47044</v>
      </c>
      <c r="H79" s="601">
        <v>47401</v>
      </c>
      <c r="I79" s="601">
        <v>47784</v>
      </c>
      <c r="K79" s="448">
        <f t="shared" ca="1" si="2"/>
        <v>45571</v>
      </c>
      <c r="L79" s="605">
        <f t="shared" ca="1" si="3"/>
        <v>45571</v>
      </c>
    </row>
    <row r="80" spans="2:12">
      <c r="B80" s="601">
        <v>45223</v>
      </c>
      <c r="C80" s="601">
        <v>45579</v>
      </c>
      <c r="D80" s="601">
        <v>45943</v>
      </c>
      <c r="E80" s="601">
        <v>46308</v>
      </c>
      <c r="F80" s="601">
        <v>46671</v>
      </c>
      <c r="G80" s="601">
        <v>47045</v>
      </c>
      <c r="H80" s="601">
        <v>47410</v>
      </c>
      <c r="I80" s="601">
        <v>47791</v>
      </c>
      <c r="K80" s="448">
        <f t="shared" ca="1" si="2"/>
        <v>45579</v>
      </c>
      <c r="L80" s="605">
        <f t="shared" ca="1" si="3"/>
        <v>45579</v>
      </c>
    </row>
    <row r="81" spans="2:12">
      <c r="B81" s="601">
        <v>45224</v>
      </c>
      <c r="C81" s="601">
        <v>45580</v>
      </c>
      <c r="D81" s="601">
        <v>45944</v>
      </c>
      <c r="E81" s="601">
        <v>46317</v>
      </c>
      <c r="F81" s="601">
        <v>46672</v>
      </c>
      <c r="G81" s="601">
        <v>47046</v>
      </c>
      <c r="H81" s="601">
        <v>47410</v>
      </c>
      <c r="I81" s="601">
        <v>47792</v>
      </c>
      <c r="K81" s="448">
        <f t="shared" ca="1" si="2"/>
        <v>45580</v>
      </c>
      <c r="L81" s="605">
        <f t="shared" ca="1" si="3"/>
        <v>45580</v>
      </c>
    </row>
    <row r="82" spans="2:12">
      <c r="B82" s="601">
        <v>45225</v>
      </c>
      <c r="C82" s="601">
        <v>45587</v>
      </c>
      <c r="D82" s="601">
        <v>45952</v>
      </c>
      <c r="E82" s="601">
        <v>46318</v>
      </c>
      <c r="F82" s="601">
        <v>46673</v>
      </c>
      <c r="G82" s="601">
        <v>47054</v>
      </c>
      <c r="H82" s="601">
        <v>47419</v>
      </c>
      <c r="I82" s="601">
        <v>47801</v>
      </c>
      <c r="K82" s="448">
        <f t="shared" ca="1" si="2"/>
        <v>45587</v>
      </c>
      <c r="L82" s="605">
        <f t="shared" ca="1" si="3"/>
        <v>45587</v>
      </c>
    </row>
    <row r="83" spans="2:12">
      <c r="B83" s="601">
        <v>45232</v>
      </c>
      <c r="C83" s="601">
        <v>45588</v>
      </c>
      <c r="D83" s="601">
        <v>45953</v>
      </c>
      <c r="E83" s="601">
        <v>46325</v>
      </c>
      <c r="F83" s="601">
        <v>46681</v>
      </c>
      <c r="G83" s="601">
        <v>47055</v>
      </c>
      <c r="H83" s="601">
        <v>47420</v>
      </c>
      <c r="I83" s="601">
        <v>47802</v>
      </c>
      <c r="K83" s="448">
        <f t="shared" ca="1" si="2"/>
        <v>45588</v>
      </c>
      <c r="L83" s="605">
        <f t="shared" ca="1" si="3"/>
        <v>45588</v>
      </c>
    </row>
    <row r="84" spans="2:12">
      <c r="B84" s="601">
        <v>45233</v>
      </c>
      <c r="C84" s="601">
        <v>45597</v>
      </c>
      <c r="D84" s="601">
        <v>45962</v>
      </c>
      <c r="E84" s="601">
        <v>46326</v>
      </c>
      <c r="F84" s="601">
        <v>46682</v>
      </c>
      <c r="G84" s="601">
        <v>47063</v>
      </c>
      <c r="H84" s="601">
        <v>47427</v>
      </c>
      <c r="I84" s="601">
        <v>47810</v>
      </c>
      <c r="K84" s="448">
        <f t="shared" ca="1" si="2"/>
        <v>45597</v>
      </c>
      <c r="L84" s="605">
        <f t="shared" ca="1" si="3"/>
        <v>45597</v>
      </c>
    </row>
    <row r="85" spans="2:12">
      <c r="B85" s="601">
        <v>45242</v>
      </c>
      <c r="C85" s="601">
        <v>45598</v>
      </c>
      <c r="D85" s="601">
        <v>45963</v>
      </c>
      <c r="E85" s="601">
        <v>46334</v>
      </c>
      <c r="F85" s="601">
        <v>46689</v>
      </c>
      <c r="G85" s="601">
        <v>47064</v>
      </c>
      <c r="H85" s="601">
        <v>47428</v>
      </c>
      <c r="I85" s="601">
        <v>47811</v>
      </c>
      <c r="K85" s="448">
        <f t="shared" ca="1" si="2"/>
        <v>45598</v>
      </c>
      <c r="L85" s="605">
        <f t="shared" ca="1" si="3"/>
        <v>45598</v>
      </c>
    </row>
    <row r="86" spans="2:12">
      <c r="B86" s="601">
        <v>45243</v>
      </c>
      <c r="C86" s="601">
        <v>45606</v>
      </c>
      <c r="D86" s="601">
        <v>45970</v>
      </c>
      <c r="E86" s="601">
        <v>46335</v>
      </c>
      <c r="F86" s="601">
        <v>46690</v>
      </c>
      <c r="G86" s="601">
        <v>47065</v>
      </c>
      <c r="H86" s="601">
        <v>47436</v>
      </c>
      <c r="I86" s="601">
        <v>47818</v>
      </c>
      <c r="K86" s="448">
        <f t="shared" ca="1" si="2"/>
        <v>45606</v>
      </c>
      <c r="L86" s="605">
        <f t="shared" ca="1" si="3"/>
        <v>45606</v>
      </c>
    </row>
    <row r="87" spans="2:12">
      <c r="B87" s="601">
        <v>45251</v>
      </c>
      <c r="C87" s="601">
        <v>45607</v>
      </c>
      <c r="D87" s="601">
        <v>45971</v>
      </c>
      <c r="E87" s="601">
        <v>46344</v>
      </c>
      <c r="F87" s="601">
        <v>46699</v>
      </c>
      <c r="G87" s="601">
        <v>47072</v>
      </c>
      <c r="H87" s="601">
        <v>47437</v>
      </c>
      <c r="I87" s="601">
        <v>47819</v>
      </c>
      <c r="K87" s="448">
        <f t="shared" ca="1" si="2"/>
        <v>45607</v>
      </c>
      <c r="L87" s="605">
        <f t="shared" ca="1" si="3"/>
        <v>45607</v>
      </c>
    </row>
    <row r="88" spans="2:12">
      <c r="B88" s="601">
        <v>45252</v>
      </c>
      <c r="C88" s="601">
        <v>45614</v>
      </c>
      <c r="D88" s="601">
        <v>45979</v>
      </c>
      <c r="E88" s="601">
        <v>46345</v>
      </c>
      <c r="F88" s="601">
        <v>46700</v>
      </c>
      <c r="G88" s="601">
        <v>47073</v>
      </c>
      <c r="H88" s="601">
        <v>47446</v>
      </c>
      <c r="I88" s="601">
        <v>47820</v>
      </c>
      <c r="K88" s="448">
        <f t="shared" ca="1" si="2"/>
        <v>45614</v>
      </c>
      <c r="L88" s="605">
        <f t="shared" ca="1" si="3"/>
        <v>45614</v>
      </c>
    </row>
    <row r="89" spans="2:12">
      <c r="B89" s="601">
        <v>45259</v>
      </c>
      <c r="C89" s="601">
        <v>45615</v>
      </c>
      <c r="D89" s="601">
        <v>45980</v>
      </c>
      <c r="E89" s="601">
        <v>46353</v>
      </c>
      <c r="F89" s="601">
        <v>46708</v>
      </c>
      <c r="G89" s="601">
        <v>47081</v>
      </c>
      <c r="H89" s="601">
        <v>47447</v>
      </c>
      <c r="I89" s="601">
        <v>47828</v>
      </c>
      <c r="K89" s="448">
        <f t="shared" ca="1" si="2"/>
        <v>45615</v>
      </c>
      <c r="L89" s="605">
        <f t="shared" ca="1" si="3"/>
        <v>45615</v>
      </c>
    </row>
    <row r="90" spans="2:12">
      <c r="B90" s="601">
        <v>45260</v>
      </c>
      <c r="C90" s="601">
        <v>45616</v>
      </c>
      <c r="D90" s="601">
        <v>45989</v>
      </c>
      <c r="E90" s="601">
        <v>46354</v>
      </c>
      <c r="F90" s="601">
        <v>46709</v>
      </c>
      <c r="G90" s="601">
        <v>47082</v>
      </c>
      <c r="H90" s="601">
        <v>47455</v>
      </c>
      <c r="I90" s="601">
        <v>47829</v>
      </c>
      <c r="K90" s="448">
        <f t="shared" ca="1" si="2"/>
        <v>45616</v>
      </c>
      <c r="L90" s="605">
        <f t="shared" ca="1" si="3"/>
        <v>45616</v>
      </c>
    </row>
    <row r="91" spans="2:12">
      <c r="B91" s="601">
        <v>45261</v>
      </c>
      <c r="C91" s="601">
        <v>45624</v>
      </c>
      <c r="D91" s="601">
        <v>45990</v>
      </c>
      <c r="E91" s="601">
        <v>46361</v>
      </c>
      <c r="F91" s="601">
        <v>46717</v>
      </c>
      <c r="G91" s="601">
        <v>47091</v>
      </c>
      <c r="H91" s="601">
        <v>47456</v>
      </c>
      <c r="I91" s="601">
        <v>47830</v>
      </c>
      <c r="K91" s="448">
        <f t="shared" ca="1" si="2"/>
        <v>45624</v>
      </c>
      <c r="L91" s="605">
        <f t="shared" ca="1" si="3"/>
        <v>45624</v>
      </c>
    </row>
    <row r="92" spans="2:12">
      <c r="B92" s="601">
        <v>45269</v>
      </c>
      <c r="C92" s="601">
        <v>45625</v>
      </c>
      <c r="D92" s="601">
        <v>45997</v>
      </c>
      <c r="E92" s="601">
        <v>46362</v>
      </c>
      <c r="F92" s="601">
        <v>46718</v>
      </c>
      <c r="G92" s="601">
        <v>47092</v>
      </c>
      <c r="H92" s="601">
        <v>47463</v>
      </c>
      <c r="I92" s="601">
        <v>47838</v>
      </c>
      <c r="K92" s="448">
        <f t="shared" ca="1" si="2"/>
        <v>45625</v>
      </c>
      <c r="L92" s="605">
        <f t="shared" ca="1" si="3"/>
        <v>45625</v>
      </c>
    </row>
    <row r="93" spans="2:12">
      <c r="B93" s="601">
        <v>45270</v>
      </c>
      <c r="C93" s="601">
        <v>45626</v>
      </c>
      <c r="D93" s="601">
        <v>45998</v>
      </c>
      <c r="E93" s="601">
        <v>46363</v>
      </c>
      <c r="F93" s="601">
        <v>46726</v>
      </c>
      <c r="G93" s="601">
        <v>47099</v>
      </c>
      <c r="H93" s="601">
        <v>47464</v>
      </c>
      <c r="I93" s="601">
        <v>47839</v>
      </c>
      <c r="K93" s="448">
        <f t="shared" ca="1" si="2"/>
        <v>45626</v>
      </c>
      <c r="L93" s="605">
        <f t="shared" ca="1" si="3"/>
        <v>45626</v>
      </c>
    </row>
    <row r="94" spans="2:12">
      <c r="B94" s="601">
        <v>45271</v>
      </c>
      <c r="C94" s="601">
        <v>45633</v>
      </c>
      <c r="D94" s="601">
        <v>46006</v>
      </c>
      <c r="E94" s="601">
        <v>46371</v>
      </c>
      <c r="F94" s="601">
        <v>46727</v>
      </c>
      <c r="G94" s="601">
        <v>47100</v>
      </c>
      <c r="H94" s="601">
        <v>47465</v>
      </c>
      <c r="I94" s="601">
        <v>47846</v>
      </c>
      <c r="K94" s="448">
        <f t="shared" ca="1" si="2"/>
        <v>45633</v>
      </c>
      <c r="L94" s="605">
        <f t="shared" ca="1" si="3"/>
        <v>45633</v>
      </c>
    </row>
    <row r="95" spans="2:12">
      <c r="B95" s="601">
        <v>45278</v>
      </c>
      <c r="C95" s="601">
        <v>45634</v>
      </c>
      <c r="D95" s="601">
        <v>46007</v>
      </c>
      <c r="E95" s="601">
        <v>46372</v>
      </c>
      <c r="F95" s="601">
        <v>46728</v>
      </c>
      <c r="G95" s="601">
        <v>47108</v>
      </c>
      <c r="H95" s="601">
        <v>47473</v>
      </c>
      <c r="I95" s="601">
        <v>47847</v>
      </c>
      <c r="K95" s="448">
        <f t="shared" ca="1" si="2"/>
        <v>45634</v>
      </c>
      <c r="L95" s="605">
        <f t="shared" ca="1" si="3"/>
        <v>45634</v>
      </c>
    </row>
    <row r="96" spans="2:12">
      <c r="B96" s="601">
        <v>45279</v>
      </c>
      <c r="C96" s="601">
        <v>45635</v>
      </c>
      <c r="D96" s="601">
        <v>46008</v>
      </c>
      <c r="E96" s="601">
        <v>46373</v>
      </c>
      <c r="F96" s="601">
        <v>46735</v>
      </c>
      <c r="G96" s="601">
        <v>47109</v>
      </c>
      <c r="H96" s="601">
        <v>47474</v>
      </c>
      <c r="I96" s="601"/>
      <c r="K96" s="448">
        <f t="shared" ca="1" si="2"/>
        <v>45635</v>
      </c>
      <c r="L96" s="605">
        <f t="shared" ca="1" si="3"/>
        <v>45635</v>
      </c>
    </row>
    <row r="97" spans="2:12">
      <c r="B97" s="601">
        <v>45287</v>
      </c>
      <c r="C97" s="601">
        <v>45642</v>
      </c>
      <c r="D97" s="601">
        <v>46016</v>
      </c>
      <c r="E97" s="601">
        <v>46380</v>
      </c>
      <c r="F97" s="601">
        <v>46736</v>
      </c>
      <c r="G97" s="601">
        <v>47110</v>
      </c>
      <c r="H97" s="601">
        <v>47482</v>
      </c>
      <c r="I97" s="601"/>
      <c r="K97" s="448">
        <f t="shared" ca="1" si="2"/>
        <v>45642</v>
      </c>
      <c r="L97" s="605">
        <f t="shared" ca="1" si="3"/>
        <v>45642</v>
      </c>
    </row>
    <row r="98" spans="2:12">
      <c r="B98" s="601">
        <v>45288</v>
      </c>
      <c r="C98" s="601">
        <v>45643</v>
      </c>
      <c r="D98" s="601">
        <v>46017</v>
      </c>
      <c r="E98" s="601">
        <v>46381</v>
      </c>
      <c r="F98" s="601">
        <v>46744</v>
      </c>
      <c r="G98" s="601">
        <v>47118</v>
      </c>
      <c r="H98" s="601"/>
      <c r="I98" s="601"/>
      <c r="K98" s="448">
        <f t="shared" ca="1" si="2"/>
        <v>45643</v>
      </c>
      <c r="L98" s="605">
        <f t="shared" ca="1" si="3"/>
        <v>45643</v>
      </c>
    </row>
    <row r="99" spans="2:12">
      <c r="B99" s="602"/>
      <c r="C99" s="601">
        <v>45651</v>
      </c>
      <c r="D99" s="602"/>
      <c r="E99" s="602"/>
      <c r="F99" s="601">
        <v>46745</v>
      </c>
      <c r="G99" s="602"/>
      <c r="H99" s="602"/>
      <c r="I99" s="602"/>
      <c r="K99" s="448">
        <f ca="1">IF($L$7=$B$7,B99,IF($L$7=$C$7,C99,IF($L$7=$D$7,D99,IF($L$7=$E$7,E99,IF($L$7=$F$7,F99,IF($L$7=$G$7,G99,""))))))</f>
        <v>45651</v>
      </c>
      <c r="L99" s="605">
        <f t="shared" ca="1" si="3"/>
        <v>45651</v>
      </c>
    </row>
    <row r="100" spans="2:12">
      <c r="B100" s="602"/>
      <c r="C100" s="601">
        <v>45652</v>
      </c>
      <c r="D100" s="602"/>
      <c r="E100" s="602"/>
      <c r="F100" s="602"/>
      <c r="G100" s="602"/>
      <c r="H100" s="602"/>
      <c r="I100" s="602"/>
      <c r="K100" s="448">
        <f ca="1">IF($L$7=$B$7,B100,IF($L$7=$C$7,C100,IF($L$7=$D$7,D100,IF($L$7=$E$7,E100,IF($L$7=$F$7,F100,IF($L$7=$G$7,G100))))))</f>
        <v>45652</v>
      </c>
      <c r="L100" s="605">
        <f t="shared" ca="1" si="3"/>
        <v>45652</v>
      </c>
    </row>
    <row r="101" spans="2:12">
      <c r="B101" s="602"/>
      <c r="C101" s="601">
        <v>45653</v>
      </c>
      <c r="D101" s="602"/>
      <c r="E101" s="602"/>
      <c r="F101" s="602"/>
      <c r="G101" s="602"/>
      <c r="H101" s="602"/>
      <c r="I101" s="602"/>
      <c r="K101" s="448">
        <f ca="1">IF($L$7=$B$7,B101,IF($L$7=$C$7,C101,IF($L$7=$D$7,D101,IF($L$7=$E$7,E101,IF($L$7=$F$7,F101,IF($L$7=$G$7,G101))))))</f>
        <v>45653</v>
      </c>
      <c r="L101" s="605">
        <f t="shared" ca="1" si="3"/>
        <v>45653</v>
      </c>
    </row>
    <row r="102" spans="2:12">
      <c r="B102" s="602"/>
      <c r="C102" s="601"/>
      <c r="D102" s="602"/>
      <c r="E102" s="602"/>
      <c r="F102" s="602"/>
      <c r="G102" s="602"/>
      <c r="H102" s="602"/>
      <c r="I102" s="602"/>
      <c r="K102" s="448">
        <f ca="1">IF($L$7=$B$7,B102,IF($L$7=$C$7,C102,IF($L$7=$D$7,D102,IF($L$7=$E$7,E102,IF($L$7=$F$7,F102,IF($L$7=$G$7,G102))))))</f>
        <v>0</v>
      </c>
      <c r="L102" s="605" t="str">
        <f t="shared" ca="1" si="3"/>
        <v/>
      </c>
    </row>
    <row r="103" spans="2:12" ht="13.5" thickBot="1">
      <c r="B103" s="603"/>
      <c r="C103" s="604"/>
      <c r="D103" s="603"/>
      <c r="E103" s="603"/>
      <c r="F103" s="603"/>
      <c r="G103" s="603"/>
      <c r="H103" s="603"/>
      <c r="I103" s="603"/>
      <c r="K103" s="448">
        <f ca="1">IF($L$7=$B$7,B103,IF($L$7=$C$7,C103,IF($L$7=$D$7,D103,IF($L$7=$E$7,E103,IF($L$7=$F$7,F103,IF($L$7=$G$7,G103))))))</f>
        <v>0</v>
      </c>
      <c r="L103" s="605" t="str">
        <f t="shared" ca="1" si="3"/>
        <v/>
      </c>
    </row>
  </sheetData>
  <sheetProtection sheet="1" selectLockedCells="1"/>
  <mergeCells count="3">
    <mergeCell ref="B2:G2"/>
    <mergeCell ref="B3:E3"/>
    <mergeCell ref="B5:F5"/>
  </mergeCells>
  <hyperlinks>
    <hyperlink ref="B5" r:id="rId1" display="https://www.mondkalender-tagesempfehlungen.de/mondkalender::wassertag:4.php" xr:uid="{CB956AC7-B195-4876-BACA-174929E47C88}"/>
  </hyperlinks>
  <pageMargins left="0.7" right="0.7" top="0.78740157499999996" bottom="0.78740157499999996" header="0.3" footer="0.3"/>
  <pageSetup paperSize="9" orientation="portrait" horizontalDpi="4294967292" verticalDpi="0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D71A9-7B76-48C9-BAF8-BB8C5CD7186F}">
  <dimension ref="A2:L25"/>
  <sheetViews>
    <sheetView showGridLines="0" workbookViewId="0">
      <selection activeCell="C8" sqref="C8"/>
    </sheetView>
  </sheetViews>
  <sheetFormatPr baseColWidth="10" defaultRowHeight="12.75"/>
  <cols>
    <col min="1" max="1" width="6.28515625" style="30" customWidth="1"/>
    <col min="2" max="2" width="33.85546875" style="30" customWidth="1"/>
    <col min="3" max="7" width="19" style="30" customWidth="1"/>
    <col min="8" max="16384" width="11.42578125" style="30"/>
  </cols>
  <sheetData>
    <row r="2" spans="1:12" ht="15.75">
      <c r="A2" s="132"/>
      <c r="B2" s="133"/>
      <c r="C2" s="134">
        <f ca="1">YEAR(TODAY())</f>
        <v>2024</v>
      </c>
      <c r="D2" s="135">
        <f ca="1">DATE(C2,1,1)</f>
        <v>45292</v>
      </c>
      <c r="G2" s="125"/>
    </row>
    <row r="3" spans="1:12">
      <c r="B3" s="136"/>
      <c r="C3" s="137" t="str">
        <f>IF(AND(B2=0,C4=0,C5=0)," aus Koordinaten","")</f>
        <v/>
      </c>
      <c r="D3" s="135">
        <f ca="1">IF(Kalender!E21&lt;&gt;"",Kalender!E21,TODAY())</f>
        <v>45365</v>
      </c>
      <c r="E3" s="136"/>
      <c r="F3" s="136"/>
      <c r="G3" s="125"/>
    </row>
    <row r="4" spans="1:12">
      <c r="B4" s="136" t="s">
        <v>80</v>
      </c>
      <c r="C4" s="162">
        <f>Kalender!U19</f>
        <v>47.55</v>
      </c>
      <c r="D4" s="138"/>
      <c r="E4" s="136"/>
      <c r="F4" s="136"/>
      <c r="G4" s="125"/>
    </row>
    <row r="5" spans="1:12">
      <c r="B5" s="136" t="s">
        <v>65</v>
      </c>
      <c r="C5" s="162">
        <f>Kalender!U20</f>
        <v>7.93</v>
      </c>
      <c r="D5" s="138"/>
      <c r="E5" s="136"/>
      <c r="F5" s="136"/>
      <c r="G5" s="125"/>
    </row>
    <row r="6" spans="1:12">
      <c r="B6" s="136"/>
      <c r="C6" s="136"/>
      <c r="D6" s="138"/>
      <c r="E6" s="136"/>
      <c r="F6" s="136"/>
      <c r="G6" s="125"/>
    </row>
    <row r="7" spans="1:12">
      <c r="B7" s="136" t="s">
        <v>81</v>
      </c>
      <c r="C7" s="138" t="str">
        <f ca="1">TEXT(D3,"TT.MM.JJJJ   ")</f>
        <v xml:space="preserve">14.03.2024   </v>
      </c>
      <c r="D7" s="136"/>
      <c r="E7" s="139"/>
      <c r="F7" s="136"/>
      <c r="G7" s="125"/>
    </row>
    <row r="8" spans="1:12">
      <c r="B8" s="133" t="str">
        <f>IF(LEFT(C8)="S","mit","ohne")&amp;" Sommerzeitregelung"</f>
        <v>ohne Sommerzeitregelung</v>
      </c>
      <c r="C8" s="275" t="s">
        <v>187</v>
      </c>
      <c r="D8" s="136" t="s">
        <v>75</v>
      </c>
      <c r="E8" s="134" t="str">
        <f>IF(LEFT(C8)="S",TEXT(D11,"TT.MM.JJ - ")&amp;TEXT(E11,"TT.MM.JJ"),"")</f>
        <v/>
      </c>
      <c r="G8" s="125"/>
      <c r="L8" s="113" t="str">
        <f ca="1">IF(AND(Kalender!E21=0,Kalender!E22=0),TEXT(TODAY(),"TT.MM.JJJJ   "),IF(Kalender!E21&lt;&gt;"",Kalender!E21,IF(Kalender!AG14&lt;&gt;"",Kalender!AG14,"")))</f>
        <v xml:space="preserve">14.03.2024   </v>
      </c>
    </row>
    <row r="9" spans="1:12">
      <c r="B9" s="133" t="s">
        <v>66</v>
      </c>
      <c r="C9" s="276">
        <f>IF(C8="S",1,IF(C8="W",0,""))</f>
        <v>0</v>
      </c>
      <c r="D9" s="136" t="s">
        <v>82</v>
      </c>
      <c r="E9" s="134" t="str">
        <f ca="1">IF(LEFT(C8)="W",TEXT(D12,"TT.MM.JJ - ")&amp;TEXT(E12,"TT.MM.JJ"),"")</f>
        <v>27.10.24 - 29.03.25</v>
      </c>
      <c r="F9" s="136"/>
      <c r="G9" s="125"/>
    </row>
    <row r="10" spans="1:12">
      <c r="B10" s="136"/>
      <c r="C10" s="140"/>
      <c r="D10" s="136"/>
      <c r="E10" s="136"/>
      <c r="F10" s="136"/>
      <c r="G10" s="125"/>
    </row>
    <row r="11" spans="1:12">
      <c r="B11" s="136" t="s">
        <v>67</v>
      </c>
      <c r="C11" s="134">
        <f ca="1">D3-D2+1</f>
        <v>74</v>
      </c>
      <c r="D11" s="141">
        <f ca="1">DATE($C$2,3,31)-(WEEKDAY(DATE($C$2,3,31))-1)</f>
        <v>45382</v>
      </c>
      <c r="E11" s="141">
        <f ca="1">DATE($C$2,10,31)-(WEEKDAY(DATE($C$2,10,31)))</f>
        <v>45591</v>
      </c>
      <c r="F11" s="133" t="s">
        <v>83</v>
      </c>
      <c r="G11" s="125"/>
    </row>
    <row r="12" spans="1:12">
      <c r="B12" s="136" t="s">
        <v>68</v>
      </c>
      <c r="C12" s="134">
        <v>0</v>
      </c>
      <c r="D12" s="141">
        <f ca="1">DATE($C$2,10,31)-(WEEKDAY(DATE($C$2,10,31))-1)</f>
        <v>45592</v>
      </c>
      <c r="E12" s="141">
        <f ca="1">DATE($C$2+1,3,31)-(WEEKDAY(DATE($C$2+1,3,31)))</f>
        <v>45745</v>
      </c>
      <c r="F12" s="133" t="s">
        <v>84</v>
      </c>
      <c r="G12" s="125"/>
    </row>
    <row r="13" spans="1:12">
      <c r="B13" s="136" t="s">
        <v>69</v>
      </c>
      <c r="C13" s="134">
        <f ca="1">ABS((SIN(-0.0145)-SIN(C4*PI()/180)*SIN(0.40954*SIN(0.0172*((C11)-79.35))))/(COS(C4*PI()/180)*COS(0.40954*SIN(0.0172*((C11)-79.35)))))</f>
        <v>1.9662697252426004E-2</v>
      </c>
      <c r="D13" s="147">
        <f ca="1">(C7&gt;=DATE(YEAR(C7),3,20+(DAY(DATE(YEAR(C7)+400,3,))=29)))*(C7*1&lt;=DATE(YEAR(C7),9,22+(DAY(DATE(YEAR(C7)+400,3,))=29)))</f>
        <v>1</v>
      </c>
      <c r="F13" s="136"/>
      <c r="G13" s="125"/>
    </row>
    <row r="14" spans="1:12">
      <c r="B14" s="136"/>
      <c r="C14" s="127" t="str">
        <f>IF(OR(C8="",C9=""),"Eingaben","")</f>
        <v/>
      </c>
      <c r="D14" s="136"/>
      <c r="E14" s="136"/>
      <c r="F14" s="136"/>
      <c r="G14" s="125"/>
    </row>
    <row r="15" spans="1:12" ht="13.5" thickBot="1">
      <c r="B15" s="136"/>
      <c r="C15" s="136"/>
      <c r="D15" s="136"/>
      <c r="E15" s="136"/>
      <c r="F15" s="136"/>
      <c r="G15" s="125"/>
    </row>
    <row r="16" spans="1:12" ht="16.5" thickTop="1">
      <c r="B16" s="142" t="s">
        <v>63</v>
      </c>
      <c r="C16" s="277">
        <f ca="1">IF(C13&gt;1,IF(OR(AND(C4*1&gt;1,D13=0),AND(C4*1&lt;1,D13=1)),"Polarnacht",""),D7+(12-(12*ACOS((SIN(-0.0145)-SIN(C4*PI()/180)*SIN(0.40954*SIN(0.0172*((C11)-79.35))))/(COS(C4*PI()/180)*COS(0.40954*SIN(0.0172*((C11)-79.35)))))/PI())-(-0.1752*SIN(0.03343*(C11)+0.5474)-0.134*SIN(0.018234*(C11)-0.1939))+(15-C5)*4/60)/24+(C12+C9)/24)</f>
        <v>0.27875364881296844</v>
      </c>
      <c r="D16" s="855" t="s">
        <v>176</v>
      </c>
      <c r="E16" s="856"/>
      <c r="F16" s="857"/>
      <c r="G16" s="125"/>
    </row>
    <row r="17" spans="1:7" ht="16.5" thickBot="1">
      <c r="B17" s="143" t="s">
        <v>70</v>
      </c>
      <c r="C17" s="144">
        <f ca="1">IF(C13&gt;1,"",(C16+C18)/2)</f>
        <v>0.52562403166566585</v>
      </c>
      <c r="D17" s="858" t="s">
        <v>177</v>
      </c>
      <c r="E17" s="859"/>
      <c r="F17" s="860"/>
      <c r="G17" s="125"/>
    </row>
    <row r="18" spans="1:7" ht="16.5" thickTop="1">
      <c r="B18" s="142" t="s">
        <v>64</v>
      </c>
      <c r="C18" s="277">
        <f ca="1">IF(C13&gt;1,IF(OR(AND(D13=1,C4*1&gt;0),AND(D13=0,C4*1&lt;0)),"die bleibt",""),D7+(12+(12*ACOS((SIN(-0.0145)-SIN(C4*PI()/180)*SIN(0.40954*SIN(0.0172*((C11)-79.35))))/(COS(C4*PI()/180)*COS(0.40954*SIN(0.0172*((C11)-79.35)))))/PI())-(-0.1752*SIN(0.03343*(C11)+0.5474)-0.134*SIN(0.018234*(C11)-0.1939))+(15-C5)*4/60)/24+(C12+C9)/24)</f>
        <v>0.77249441451836331</v>
      </c>
      <c r="E18" s="136"/>
      <c r="F18" s="136"/>
      <c r="G18" s="125"/>
    </row>
    <row r="19" spans="1:7" ht="15.75">
      <c r="B19" s="145" t="s">
        <v>71</v>
      </c>
      <c r="C19" s="278" t="str">
        <f ca="1">ROUND(E20,0)&amp;" Stunden"</f>
        <v>12 Stunden</v>
      </c>
      <c r="E19" s="136"/>
      <c r="F19" s="136"/>
      <c r="G19" s="125"/>
    </row>
    <row r="20" spans="1:7" ht="15.75">
      <c r="E20" s="146">
        <f ca="1">(C18-C16)*24</f>
        <v>11.849778376929477</v>
      </c>
      <c r="F20" s="136"/>
      <c r="G20" s="125"/>
    </row>
    <row r="21" spans="1:7">
      <c r="B21" s="136"/>
      <c r="C21" s="147"/>
      <c r="D21" s="136"/>
      <c r="E21" s="136"/>
      <c r="F21" s="136"/>
      <c r="G21" s="125"/>
    </row>
    <row r="22" spans="1:7" ht="15.75" thickBot="1">
      <c r="A22" s="148"/>
      <c r="B22" s="149"/>
      <c r="C22" s="150"/>
      <c r="D22" s="151"/>
      <c r="E22" s="151"/>
      <c r="F22" s="152"/>
      <c r="G22" s="125"/>
    </row>
    <row r="23" spans="1:7" ht="16.5" thickBot="1">
      <c r="A23" s="153"/>
      <c r="B23" s="154" t="s">
        <v>85</v>
      </c>
      <c r="C23" s="155">
        <f ca="1">NOW()</f>
        <v>45365.834763425926</v>
      </c>
      <c r="D23" s="136"/>
      <c r="E23" s="136"/>
      <c r="F23" s="156"/>
      <c r="G23" s="125"/>
    </row>
    <row r="24" spans="1:7">
      <c r="A24" s="128">
        <f ca="1">(TODAY()&gt;=(E12))*(TODAY()&lt;F12)/24</f>
        <v>0</v>
      </c>
      <c r="B24" s="129" t="str">
        <f>IF(A23="","akt. ","geänderte ")&amp;"deutsche Zeit"</f>
        <v>akt. deutsche Zeit</v>
      </c>
      <c r="C24" s="126" t="str">
        <f ca="1">IF(C23="","",IF($A23="","akt. ","")&amp;"Ortszeit")</f>
        <v>akt. Ortszeit</v>
      </c>
      <c r="D24" s="130"/>
      <c r="E24" s="131" t="str">
        <f ca="1">IFERROR((C23-B23)*24,"")</f>
        <v/>
      </c>
      <c r="F24" s="125"/>
      <c r="G24" s="125"/>
    </row>
    <row r="25" spans="1:7">
      <c r="B25" s="125"/>
      <c r="C25" s="125"/>
      <c r="D25" s="125"/>
      <c r="E25" s="125"/>
      <c r="F25" s="125"/>
      <c r="G25" s="125"/>
    </row>
  </sheetData>
  <sheetProtection sheet="1" selectLockedCells="1"/>
  <mergeCells count="2">
    <mergeCell ref="D16:F16"/>
    <mergeCell ref="D17:F17"/>
  </mergeCells>
  <conditionalFormatting sqref="B8">
    <cfRule type="expression" dxfId="5" priority="2" stopIfTrue="1">
      <formula>C12=1</formula>
    </cfRule>
  </conditionalFormatting>
  <conditionalFormatting sqref="B9">
    <cfRule type="expression" dxfId="4" priority="3" stopIfTrue="1">
      <formula>#REF!&lt;&gt;0</formula>
    </cfRule>
  </conditionalFormatting>
  <conditionalFormatting sqref="B24">
    <cfRule type="expression" dxfId="3" priority="7">
      <formula>A23&lt;&gt;""</formula>
    </cfRule>
  </conditionalFormatting>
  <conditionalFormatting sqref="C24">
    <cfRule type="expression" dxfId="2" priority="6">
      <formula>LEN(C24)&lt;10</formula>
    </cfRule>
  </conditionalFormatting>
  <conditionalFormatting sqref="D4:D5">
    <cfRule type="expression" dxfId="1" priority="1" stopIfTrue="1">
      <formula>D4*1&lt;0</formula>
    </cfRule>
  </conditionalFormatting>
  <conditionalFormatting sqref="E24">
    <cfRule type="expression" dxfId="0" priority="4">
      <formula>E24&lt;0</formula>
    </cfRule>
  </conditionalFormatting>
  <pageMargins left="0.7" right="0.7" top="0.78740157499999996" bottom="0.78740157499999996" header="0.3" footer="0.3"/>
  <pageSetup paperSize="9" orientation="portrait" horizontalDpi="4294967292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M53"/>
  <sheetViews>
    <sheetView showGridLines="0" workbookViewId="0">
      <selection activeCell="C2" sqref="C2"/>
    </sheetView>
  </sheetViews>
  <sheetFormatPr baseColWidth="10" defaultColWidth="11.5703125" defaultRowHeight="12.75"/>
  <cols>
    <col min="1" max="1" width="6.5703125" style="30" customWidth="1"/>
    <col min="2" max="2" width="5.5703125" style="30" customWidth="1"/>
    <col min="3" max="3" width="33.140625" style="30" customWidth="1"/>
    <col min="4" max="4" width="5.42578125" style="30" customWidth="1"/>
    <col min="5" max="5" width="20.85546875" style="30" customWidth="1"/>
    <col min="6" max="6" width="6.7109375" style="30" customWidth="1"/>
    <col min="7" max="7" width="13.28515625" style="30" customWidth="1"/>
    <col min="8" max="8" width="39" style="30" customWidth="1"/>
    <col min="9" max="10" width="11.5703125" style="66"/>
    <col min="11" max="12" width="11.5703125" style="61"/>
    <col min="13" max="16384" width="11.5703125" style="30"/>
  </cols>
  <sheetData>
    <row r="1" spans="2:13" ht="13.5" thickBot="1">
      <c r="I1" s="393"/>
      <c r="K1" s="522"/>
      <c r="L1" s="522"/>
      <c r="M1" s="393"/>
    </row>
    <row r="2" spans="2:13" ht="21" thickBot="1">
      <c r="C2" s="267">
        <f ca="1">YEAR(Kalender!D6)</f>
        <v>2024</v>
      </c>
      <c r="E2" s="68">
        <f ca="1">DATE(YEAR(G2),1,1)</f>
        <v>45292</v>
      </c>
      <c r="F2" s="67"/>
      <c r="G2" s="68">
        <f ca="1">Kalender!D6</f>
        <v>45365</v>
      </c>
      <c r="I2" s="393"/>
      <c r="K2" s="522"/>
      <c r="L2" s="522"/>
      <c r="M2" s="393"/>
    </row>
    <row r="3" spans="2:13" ht="13.5" thickBot="1">
      <c r="E3" s="68">
        <f ca="1">DATE(YEAR(G2)+1,1,1)</f>
        <v>45658</v>
      </c>
      <c r="I3" s="393"/>
      <c r="K3" s="522"/>
      <c r="L3" s="522"/>
      <c r="M3" s="393"/>
    </row>
    <row r="4" spans="2:13" ht="13.5" thickBot="1">
      <c r="B4" s="861" t="s">
        <v>38</v>
      </c>
      <c r="C4" s="51">
        <f ca="1">C2</f>
        <v>2024</v>
      </c>
      <c r="I4" s="393"/>
      <c r="K4" s="522"/>
      <c r="L4" s="522"/>
      <c r="M4" s="393"/>
    </row>
    <row r="5" spans="2:13" ht="13.5" thickBot="1">
      <c r="B5" s="861"/>
      <c r="C5" s="52">
        <f ca="1">(C4-2000)/1000</f>
        <v>2.4E-2</v>
      </c>
      <c r="I5" s="393"/>
      <c r="K5" s="522"/>
      <c r="L5" s="522"/>
      <c r="M5" s="393"/>
    </row>
    <row r="6" spans="2:13" ht="13.5" thickBot="1">
      <c r="B6" s="861"/>
      <c r="C6" s="53">
        <f>2415018.5</f>
        <v>2415018.5</v>
      </c>
      <c r="I6" s="393"/>
      <c r="K6" s="522"/>
      <c r="L6" s="522"/>
      <c r="M6" s="393"/>
    </row>
    <row r="7" spans="2:13" ht="13.5" thickBot="1">
      <c r="B7" s="861"/>
      <c r="C7" s="52">
        <f ca="1">2451623.80984+365242.37404*C5+0.05169*C5^2-0.00411*C5^3-0.00057*C5^4</f>
        <v>2460389.6268466762</v>
      </c>
      <c r="I7" s="393"/>
      <c r="K7" s="522"/>
      <c r="L7" s="522"/>
      <c r="M7" s="393"/>
    </row>
    <row r="8" spans="2:13" ht="13.5" thickBot="1">
      <c r="B8" s="861"/>
      <c r="C8" s="52">
        <f ca="1">(C7-2451545)/36525</f>
        <v>0.24215268574062224</v>
      </c>
      <c r="I8" s="393"/>
      <c r="K8" s="522"/>
      <c r="L8" s="522"/>
      <c r="M8" s="393"/>
    </row>
    <row r="9" spans="2:13" ht="13.5" thickBot="1">
      <c r="B9" s="861"/>
      <c r="C9" s="52">
        <f ca="1">35999.373*C8-2.47</f>
        <v>8714.8748569284417</v>
      </c>
      <c r="I9" s="393"/>
      <c r="K9" s="522"/>
      <c r="L9" s="522"/>
      <c r="M9" s="393"/>
    </row>
    <row r="10" spans="2:13" ht="13.5" thickBot="1">
      <c r="B10" s="861"/>
      <c r="C10" s="52">
        <f ca="1">1+0.0334*COS(C9*PI()/180)+0.0007*COS(2*C9*PI()/180)</f>
        <v>1.0081103174950907</v>
      </c>
      <c r="I10" s="393"/>
      <c r="K10" s="522"/>
      <c r="L10" s="522"/>
      <c r="M10" s="393"/>
    </row>
    <row r="11" spans="2:13" ht="13.5" thickBot="1">
      <c r="B11" s="861"/>
      <c r="C11" s="52">
        <f ca="1">485*COS((324.96+1934.136*C8)*PI()/180)+203*COS((337.23+32964.467*C8)*PI()/180)+199*COS((342.08+20.186*C8)*PI()/180)+182*COS((27.85+445267.112*C8)*PI()/180)+156*COS((73.14+45036.886*C8)*PI()/180)+136*COS((171.52+22518.443*C8)*PI()/180)+77*COS((222.54+65928.934*C8)*PI()/180)+74*COS((296.72+3034.906*C8)*PI()/180)+70*COS((243.58+9037.513*C8)*PI()/180)+58*COS((119.81+33718.147*C8)*PI()/180)+52*COS((297.17+150.678*C8)*PI()/180)+50*COS((21.02+2281.226)*PI()/180)</f>
        <v>271.08851434088461</v>
      </c>
      <c r="I11" s="393"/>
      <c r="K11" s="522"/>
      <c r="L11" s="522"/>
      <c r="M11" s="393"/>
    </row>
    <row r="12" spans="2:13" ht="13.5" thickBot="1">
      <c r="B12" s="861"/>
      <c r="C12" s="52">
        <f ca="1">45*COS((247.54+29929.562*C8)*PI()/180)+44*COS((325.15+31555.956*C8)*PI()/180)+29*COS((60.93+4443.417*C8)*PI()/180)+18*COS((155.12+67555.328*C8)*PI()/180)+17*COS((288.79+4562.452*C8)*PI()/180)+16*COS((198.04+62894.029*C8)*PI()/180)+14*COS((199.76+31436.921*C8)*PI()/180)+12*COS((95.39+14577.848*C8)*PI()/180)+12*COS((287.11+31931.756*C8)*PI()/180)+12*COS((320.81+34777.259*C8)*PI()/180)+9*COS((227.73+1222.114*C8)*PI()/180)+8*COS((15.45+16859.074*C8)*PI()/180)</f>
        <v>86.702825015387234</v>
      </c>
      <c r="I12" s="393"/>
      <c r="K12" s="522"/>
      <c r="L12" s="522"/>
      <c r="M12" s="393"/>
    </row>
    <row r="13" spans="2:13" ht="13.5" thickBot="1">
      <c r="B13" s="861"/>
      <c r="C13" s="52">
        <f ca="1">C11+C12</f>
        <v>357.79133935627186</v>
      </c>
      <c r="I13" s="393"/>
      <c r="K13" s="522"/>
      <c r="L13" s="522"/>
      <c r="M13" s="393"/>
    </row>
    <row r="14" spans="2:13" ht="13.5" thickBot="1">
      <c r="B14" s="861"/>
      <c r="C14" s="54">
        <f ca="1">C7+0.00001*C13/C10-1/(60*24)</f>
        <v>2460389.6297013606</v>
      </c>
      <c r="I14" s="393"/>
      <c r="K14" s="522"/>
      <c r="L14" s="522"/>
      <c r="M14" s="393"/>
    </row>
    <row r="15" spans="2:13" ht="13.5" thickBot="1">
      <c r="B15" s="861"/>
      <c r="I15" s="393"/>
      <c r="K15" s="522"/>
      <c r="L15" s="522"/>
      <c r="M15" s="393"/>
    </row>
    <row r="16" spans="2:13" ht="13.5" thickBot="1">
      <c r="B16" s="861"/>
      <c r="C16" s="55">
        <f ca="1">ROUND(($C14-C$6+1/24)*1440,0)/1440</f>
        <v>45371.171527777777</v>
      </c>
      <c r="E16" s="67" t="str">
        <f ca="1">TEXT((C16),"TT.MM.JJJJ   hh:mm"&amp;F16)</f>
        <v>20.03.2024   04:07 Uhr</v>
      </c>
      <c r="F16" s="30" t="s">
        <v>53</v>
      </c>
      <c r="G16" s="46">
        <f ca="1">LEFT(E16,10)*1</f>
        <v>45371</v>
      </c>
      <c r="H16" s="265" t="str">
        <f ca="1">IF(AND(MONTH($G$2)=3,DAY($G$2)&gt;=15,DAY($G$2)&lt;DAY(G16)+1),"Frühlingsanfang: "&amp;E16,"")</f>
        <v/>
      </c>
      <c r="I16" s="522">
        <f ca="1">IF(AND($G$2&gt;=K16,$G$2&lt;L16),4,0)</f>
        <v>4</v>
      </c>
      <c r="K16" s="653">
        <f ca="1">E2</f>
        <v>45292</v>
      </c>
      <c r="L16" s="653">
        <f ca="1">G16</f>
        <v>45371</v>
      </c>
      <c r="M16" s="393" t="s">
        <v>237</v>
      </c>
    </row>
    <row r="17" spans="2:13" ht="13.5" thickBot="1">
      <c r="H17" s="67"/>
      <c r="I17" s="522">
        <f ca="1">IF(AND($G$2&gt;=K17,$G$2&lt;L17),1,0)</f>
        <v>0</v>
      </c>
      <c r="K17" s="653">
        <f ca="1">G16</f>
        <v>45371</v>
      </c>
      <c r="L17" s="653">
        <f ca="1">G27</f>
        <v>45463</v>
      </c>
      <c r="M17" s="393" t="s">
        <v>280</v>
      </c>
    </row>
    <row r="18" spans="2:13" ht="13.5" thickBot="1">
      <c r="B18" s="861" t="s">
        <v>39</v>
      </c>
      <c r="C18" s="56">
        <f ca="1">2451716.56767+365241.62603*C5+0.00325*C5^2+0.00888*C5^3-0.0003*C5^4</f>
        <v>2460482.3666967149</v>
      </c>
      <c r="I18" s="522">
        <f ca="1">IF(AND($G$2&gt;=K18,$G$2&lt;L18),2,0)</f>
        <v>0</v>
      </c>
      <c r="K18" s="653">
        <f ca="1">G27</f>
        <v>45463</v>
      </c>
      <c r="L18" s="653">
        <f ca="1">G38</f>
        <v>45557</v>
      </c>
      <c r="M18" s="393" t="s">
        <v>244</v>
      </c>
    </row>
    <row r="19" spans="2:13" ht="13.5" thickBot="1">
      <c r="B19" s="861"/>
      <c r="C19" s="52">
        <f ca="1">(C18-2451545)/36525</f>
        <v>0.24469176445489088</v>
      </c>
      <c r="I19" s="522">
        <f ca="1">IF(AND($G$2&gt;=K19,$G$2&lt;L19),3,0)</f>
        <v>0</v>
      </c>
      <c r="K19" s="653">
        <f ca="1">G38</f>
        <v>45557</v>
      </c>
      <c r="L19" s="653">
        <f ca="1">G49</f>
        <v>45647</v>
      </c>
      <c r="M19" s="393" t="s">
        <v>246</v>
      </c>
    </row>
    <row r="20" spans="2:13" ht="13.5" thickBot="1">
      <c r="B20" s="861"/>
      <c r="C20" s="52">
        <f ca="1">35999.373*C19-2.47</f>
        <v>8806.2800986397597</v>
      </c>
      <c r="I20" s="522">
        <f ca="1">IF(AND($G$2&gt;=K20,$G$2&lt;L20),4,0)</f>
        <v>0</v>
      </c>
      <c r="K20" s="653">
        <f ca="1">G49</f>
        <v>45647</v>
      </c>
      <c r="L20" s="653">
        <f ca="1">E3</f>
        <v>45658</v>
      </c>
      <c r="M20" s="393" t="s">
        <v>237</v>
      </c>
    </row>
    <row r="21" spans="2:13" ht="13.5" thickBot="1">
      <c r="B21" s="861"/>
      <c r="C21" s="52">
        <f ca="1">1+0.0334*COS(C20*PI()/180)+0.0007*COS(2*C20*PI()/180)</f>
        <v>0.96817425581231265</v>
      </c>
      <c r="I21" s="393"/>
      <c r="K21" s="522"/>
      <c r="L21" s="522"/>
      <c r="M21" s="393"/>
    </row>
    <row r="22" spans="2:13" ht="13.5" thickBot="1">
      <c r="B22" s="861"/>
      <c r="C22" s="52">
        <f ca="1">485*COS((324.96+1934.136*C19)*PI()/180)+203*COS((337.23+32964.467*C19)*PI()/180)+199*COS((342.08+20.186*C19)*PI()/180)+182*COS((27.85+445267.112*C19)*PI()/180)+156*COS((73.14+45036.886*C19)*PI()/180)+136*COS((171.52+22518.443*C19)*PI()/180)+77*COS((222.54+65928.934*C19)*PI()/180)+74*COS((296.72+3034.906*C19)*PI()/180)+70*COS((243.58+9037.513*C19)*PI()/180)+58*COS((119.81+33718.147*C19)*PI()/180)+52*COS((297.17+150.678*C19)*PI()/180)+50*COS((21.02+2281.226)*PI()/180)</f>
        <v>264.81216971630704</v>
      </c>
      <c r="I22" s="652">
        <f ca="1">MAX(I16:I20)</f>
        <v>4</v>
      </c>
      <c r="K22" s="522"/>
      <c r="L22" s="522"/>
      <c r="M22" s="393"/>
    </row>
    <row r="23" spans="2:13" ht="13.5" thickBot="1">
      <c r="B23" s="861"/>
      <c r="C23" s="52">
        <f ca="1">45*COS((247.54+29929.562*C19)*PI()/180)+44*COS((325.15+31555.956*C19)*PI()/180)+29*COS((60.93+4443.417*C19)*PI()/180)+18*COS((155.12+67555.328*C19)*PI()/180)+17*COS((288.79+4562.452*C19)*PI()/180)+16*COS((198.04+62894.029*C19)*PI()/180)+14*COS((199.76+31436.921*C19)*PI()/180)+12*COS((95.39+14577.848*C19)*PI()/180)+12*COS((287.11+31931.756*C19)*PI()/180)+12*COS((320.81+34777.259*C19)*PI()/180)+9*COS((227.73+1222.114*C19)*PI()/180)+8*COS((15.45+16859.074*C19)*PI()/180)</f>
        <v>4.724246397642812</v>
      </c>
      <c r="I23" s="393"/>
      <c r="K23" s="522"/>
      <c r="L23" s="522"/>
      <c r="M23" s="393"/>
    </row>
    <row r="24" spans="2:13" ht="13.5" thickBot="1">
      <c r="B24" s="861"/>
      <c r="C24" s="52">
        <f ca="1">C22+C23</f>
        <v>269.53641611394983</v>
      </c>
      <c r="I24" s="393" t="str">
        <f ca="1">IF(I22=4,"Winter",IF(I22=1,"Frühling",IF(I22=2,"Sommer",IF(I22=3,"Herbst"))))</f>
        <v>Winter</v>
      </c>
      <c r="K24" s="522"/>
      <c r="L24" s="522"/>
      <c r="M24" s="393"/>
    </row>
    <row r="25" spans="2:13" ht="13.5" thickBot="1">
      <c r="B25" s="861"/>
      <c r="C25" s="54">
        <f ca="1">C18+0.00001*C24/C21-1/(60*24)</f>
        <v>2460482.3687862363</v>
      </c>
      <c r="I25" s="393"/>
      <c r="K25" s="522"/>
      <c r="L25" s="522"/>
      <c r="M25" s="393"/>
    </row>
    <row r="26" spans="2:13" ht="13.5" thickBot="1">
      <c r="B26" s="861"/>
      <c r="I26" s="393"/>
      <c r="K26" s="522"/>
      <c r="L26" s="522"/>
      <c r="M26" s="393"/>
    </row>
    <row r="27" spans="2:13" ht="13.5" thickBot="1">
      <c r="B27" s="861"/>
      <c r="C27" s="57">
        <f ca="1">ROUND(($C25-C$6+2/24)*1440,0)/1440</f>
        <v>45463.95208333333</v>
      </c>
      <c r="E27" s="67" t="str">
        <f ca="1">TEXT((C27),"TT.MM.JJJJ   hh:mm"&amp;$F$16)</f>
        <v>20.06.2024   22:51 Uhr</v>
      </c>
      <c r="G27" s="46">
        <f ca="1">LEFT(E27,10)*1</f>
        <v>45463</v>
      </c>
      <c r="H27" s="265" t="str">
        <f ca="1">IF(AND(MONTH($G$2)=6,DAY($G$2)&gt;=15,DAY($G$2)&lt;DAY(G27)+1),"Sommeranfang: "&amp;E27,"")</f>
        <v/>
      </c>
      <c r="I27" s="393"/>
      <c r="K27" s="522"/>
      <c r="L27" s="522"/>
      <c r="M27" s="393"/>
    </row>
    <row r="28" spans="2:13" ht="13.5" thickBot="1">
      <c r="H28" s="67"/>
      <c r="I28" s="393"/>
      <c r="K28" s="522"/>
      <c r="L28" s="522"/>
      <c r="M28" s="393"/>
    </row>
    <row r="29" spans="2:13" ht="13.5" thickBot="1">
      <c r="B29" s="861" t="s">
        <v>40</v>
      </c>
      <c r="C29" s="56">
        <f ca="1">2451810.21715+365242.01767*C5-0.11575*C5^2+0.00337*C5^3+0.00078*C5^4</f>
        <v>2460576.0255074548</v>
      </c>
      <c r="I29" s="393"/>
      <c r="K29" s="522"/>
      <c r="L29" s="522"/>
      <c r="M29" s="393"/>
    </row>
    <row r="30" spans="2:13" ht="13.5" thickBot="1">
      <c r="B30" s="861"/>
      <c r="C30" s="52">
        <f ca="1">(C29-2451545)/36525</f>
        <v>0.24725600294195099</v>
      </c>
      <c r="I30" s="393"/>
      <c r="K30" s="522"/>
      <c r="L30" s="522"/>
      <c r="M30" s="393"/>
    </row>
    <row r="31" spans="2:13" ht="13.5" thickBot="1">
      <c r="B31" s="861"/>
      <c r="C31" s="52">
        <f ca="1">35999.373*C30-2.47</f>
        <v>8898.5910763963911</v>
      </c>
      <c r="I31" s="393"/>
      <c r="K31" s="522"/>
      <c r="L31" s="522"/>
      <c r="M31" s="393"/>
    </row>
    <row r="32" spans="2:13" ht="13.5" thickBot="1">
      <c r="B32" s="861"/>
      <c r="C32" s="52">
        <f ca="1">1+0.0334*COS(C31*PI()/180)+0.0007*COS(2*C31*PI()/180)</f>
        <v>0.99274792593501859</v>
      </c>
      <c r="I32" s="393"/>
      <c r="K32" s="522"/>
      <c r="L32" s="522"/>
      <c r="M32" s="393"/>
    </row>
    <row r="33" spans="2:13" ht="13.5" thickBot="1">
      <c r="B33" s="861"/>
      <c r="C33" s="52">
        <f ca="1">485*COS((324.96+1934.136*C30)*PI()/180)+203*COS((337.23+32964.467*C30)*PI()/180)+199*COS((342.08+20.186*C30)*PI()/180)+182*COS((27.85+445267.112*C30)*PI()/180)+156*COS((73.14+45036.886*C30)*PI()/180)+136*COS((171.52+22518.443*C30)*PI()/180)+77*COS((222.54+65928.934*C30)*PI()/180)+74*COS((296.72+3034.906*C30)*PI()/180)+70*COS((243.58+9037.513*C30)*PI()/180)+58*COS((119.81+33718.147*C30)*PI()/180)+52*COS((297.17+150.678*C30)*PI()/180)+50*COS((21.02+2281.226)*PI()/180)</f>
        <v>573.06964725954754</v>
      </c>
      <c r="I33" s="393"/>
      <c r="K33" s="522"/>
      <c r="L33" s="522"/>
      <c r="M33" s="393"/>
    </row>
    <row r="34" spans="2:13" ht="13.5" thickBot="1">
      <c r="B34" s="861"/>
      <c r="C34" s="52">
        <f ca="1">45*COS((247.54+29929.562*C30)*PI()/180)+44*COS((325.15+31555.956*C30)*PI()/180)+29*COS((60.93+4443.417*C30)*PI()/180)+18*COS((155.12+67555.328*C30)*PI()/180)+17*COS((288.79+4562.452*C30)*PI()/180)+16*COS((198.04+62894.029*C30)*PI()/180)+14*COS((199.76+31436.921*C30)*PI()/180)+12*COS((95.39+14577.848*C30)*PI()/180)+12*COS((287.11+31931.756*C30)*PI()/180)+12*COS((320.81+34777.259*C30)*PI()/180)+9*COS((227.73+1222.114*C30)*PI()/180)+8*COS((15.45+16859.074*C30)*PI()/180)</f>
        <v>-15.843850919384463</v>
      </c>
      <c r="I34" s="393"/>
      <c r="K34" s="522"/>
      <c r="L34" s="522"/>
      <c r="M34" s="393"/>
    </row>
    <row r="35" spans="2:13" ht="13.5" thickBot="1">
      <c r="B35" s="861"/>
      <c r="C35" s="52">
        <f ca="1">C33+C34</f>
        <v>557.22579634016313</v>
      </c>
      <c r="I35" s="393"/>
      <c r="K35" s="522"/>
      <c r="L35" s="522"/>
      <c r="M35" s="393"/>
    </row>
    <row r="36" spans="2:13" ht="13.5" thickBot="1">
      <c r="B36" s="861"/>
      <c r="C36" s="54">
        <f ca="1">C29+0.00001*C35/C32-1/(60*24)</f>
        <v>2460576.0304259742</v>
      </c>
      <c r="I36" s="393"/>
      <c r="K36" s="522"/>
      <c r="L36" s="522"/>
      <c r="M36" s="393"/>
    </row>
    <row r="37" spans="2:13" ht="13.5" thickBot="1">
      <c r="B37" s="861"/>
      <c r="I37" s="393"/>
      <c r="K37" s="522"/>
      <c r="L37" s="522"/>
      <c r="M37" s="393"/>
    </row>
    <row r="38" spans="2:13" ht="13.5" thickBot="1">
      <c r="B38" s="861"/>
      <c r="C38" s="57">
        <f ca="1">ROUND(($C36-C$6+2/24)*1440,0)/1440</f>
        <v>45557.613888888889</v>
      </c>
      <c r="E38" s="67" t="str">
        <f ca="1">TEXT((C38),"TT.MM.JJJJ   hh:mm"&amp;$F$16)</f>
        <v>22.09.2024   14:44 Uhr</v>
      </c>
      <c r="G38" s="46">
        <f ca="1">LEFT(E38,10)*1</f>
        <v>45557</v>
      </c>
      <c r="H38" s="265" t="str">
        <f ca="1">IF(AND(MONTH($G$2)=9,DAY($G$2)&gt;=15,DAY($G$2)&lt;DAY(G38)+1),"Herbstanfang: "&amp;E38,"")</f>
        <v/>
      </c>
      <c r="I38" s="393"/>
      <c r="K38" s="522"/>
      <c r="L38" s="522"/>
      <c r="M38" s="393"/>
    </row>
    <row r="39" spans="2:13" ht="13.5" thickBot="1">
      <c r="H39" s="67"/>
      <c r="I39" s="393"/>
      <c r="K39" s="522"/>
      <c r="L39" s="522"/>
      <c r="M39" s="393"/>
    </row>
    <row r="40" spans="2:13" ht="13.5" thickBot="1">
      <c r="B40" s="861" t="s">
        <v>41</v>
      </c>
      <c r="C40" s="56">
        <f ca="1">2451900.05952+365242.74049*C5-0.06223*C5^2-0.00823*C5^3+0.00032*C5^4</f>
        <v>2460665.8852558024</v>
      </c>
      <c r="I40" s="393"/>
      <c r="K40" s="522"/>
      <c r="L40" s="522"/>
      <c r="M40" s="393"/>
    </row>
    <row r="41" spans="2:13" ht="13.5" thickBot="1">
      <c r="B41" s="861"/>
      <c r="C41" s="52">
        <f ca="1">(C40-2451545)/36525</f>
        <v>0.24971622876940242</v>
      </c>
      <c r="I41" s="393"/>
      <c r="K41" s="522"/>
      <c r="L41" s="522"/>
      <c r="M41" s="393"/>
    </row>
    <row r="42" spans="2:13" ht="13.5" thickBot="1">
      <c r="B42" s="861"/>
      <c r="C42" s="52">
        <f ca="1">35999.373*C41-2.47</f>
        <v>8987.1576636230493</v>
      </c>
      <c r="I42" s="393"/>
      <c r="K42" s="522"/>
      <c r="L42" s="522"/>
      <c r="M42" s="393"/>
    </row>
    <row r="43" spans="2:13" ht="13.5" thickBot="1">
      <c r="B43" s="861"/>
      <c r="C43" s="52">
        <f ca="1">1+0.0334*COS(C42*PI()/180)+0.0007*COS(2*C42*PI()/180)</f>
        <v>1.0331953469204038</v>
      </c>
      <c r="I43" s="393"/>
      <c r="K43" s="522"/>
      <c r="L43" s="522"/>
      <c r="M43" s="393"/>
    </row>
    <row r="44" spans="2:13" ht="13.5" thickBot="1">
      <c r="B44" s="861"/>
      <c r="C44" s="52">
        <f ca="1">485*COS((324.96+1934.136*C41)*PI()/180)+203*COS((337.23+32964.467*C41)*PI()/180)+199*COS((342.08+20.186*C41)*PI()/180)+182*COS((27.85+445267.112*C41)*PI()/180)+156*COS((73.14+45036.886*C41)*PI()/180)+136*COS((171.52+22518.443*C41)*PI()/180)+77*COS((222.54+65928.934*C41)*PI()/180)+74*COS((296.72+3034.906*C41)*PI()/180)+70*COS((243.58+9037.513*C41)*PI()/180)+58*COS((119.81+33718.147*C41)*PI()/180)+52*COS((297.17+150.678*C41)*PI()/180)+50*COS((21.02+2281.226)*PI()/180)</f>
        <v>496.75390911847165</v>
      </c>
      <c r="H44" s="66"/>
      <c r="I44" s="393"/>
      <c r="K44" s="522"/>
      <c r="L44" s="522"/>
      <c r="M44" s="393"/>
    </row>
    <row r="45" spans="2:13" ht="13.5" thickBot="1">
      <c r="B45" s="861"/>
      <c r="C45" s="52">
        <f ca="1">45*COS((247.54+29929.562*C41)*PI()/180)+44*COS((325.15+31555.956*C41)*PI()/180)+29*COS((60.93+4443.417*C41)*PI()/180)+18*COS((155.12+67555.328*C41)*PI()/180)+17*COS((288.79+4562.452*C41)*PI()/180)+16*COS((198.04+62894.029*C41)*PI()/180)+14*COS((199.76+31436.921*C41)*PI()/180)+12*COS((95.39+14577.848*C41)*PI()/180)+12*COS((287.11+31931.756*C41)*PI()/180)+12*COS((320.81+34777.259*C41)*PI()/180)+9*COS((227.73+1222.114*C41)*PI()/180)+8*COS((15.45+16859.074*C41)*PI()/180)</f>
        <v>-16.142843832448602</v>
      </c>
      <c r="H45" s="66"/>
      <c r="I45" s="393"/>
      <c r="K45" s="522"/>
      <c r="L45" s="522"/>
      <c r="M45" s="393"/>
    </row>
    <row r="46" spans="2:13" ht="13.5" thickBot="1">
      <c r="B46" s="861"/>
      <c r="C46" s="52">
        <f ca="1">C44+C45</f>
        <v>480.61106528602306</v>
      </c>
      <c r="H46" s="66"/>
      <c r="I46" s="393"/>
      <c r="K46" s="522"/>
      <c r="L46" s="522"/>
      <c r="M46" s="393"/>
    </row>
    <row r="47" spans="2:13" ht="13.5" thickBot="1">
      <c r="B47" s="861"/>
      <c r="C47" s="54">
        <f ca="1">C40+0.00001*C46/C43-1/(60*24)</f>
        <v>2460665.889213054</v>
      </c>
      <c r="H47" s="66"/>
      <c r="I47" s="393"/>
      <c r="K47" s="522"/>
      <c r="L47" s="522"/>
      <c r="M47" s="393"/>
    </row>
    <row r="48" spans="2:13" ht="13.5" thickBot="1">
      <c r="B48" s="861"/>
      <c r="H48" s="66"/>
      <c r="I48" s="393"/>
      <c r="K48" s="522"/>
      <c r="L48" s="522"/>
      <c r="M48" s="393"/>
    </row>
    <row r="49" spans="2:13" ht="13.5" thickBot="1">
      <c r="B49" s="861"/>
      <c r="C49" s="55">
        <f ca="1">ROUND(($C47-C$6+1/24)*1440,0)/1440</f>
        <v>45647.430555555555</v>
      </c>
      <c r="E49" s="67" t="str">
        <f ca="1">TEXT((C49),"TT.MM.JJJJ   hh:mm"&amp;$F$16)</f>
        <v>21.12.2024   10:20 Uhr</v>
      </c>
      <c r="G49" s="46">
        <f ca="1">LEFT(E49,10)*1</f>
        <v>45647</v>
      </c>
      <c r="H49" s="417">
        <f ca="1">G49-365</f>
        <v>45282</v>
      </c>
      <c r="I49" s="393"/>
      <c r="K49" s="522"/>
      <c r="L49" s="522"/>
      <c r="M49" s="393"/>
    </row>
    <row r="50" spans="2:13">
      <c r="H50" s="67"/>
      <c r="I50" s="393"/>
    </row>
    <row r="51" spans="2:13">
      <c r="H51" s="66"/>
      <c r="I51" s="393"/>
    </row>
    <row r="52" spans="2:13">
      <c r="I52" s="393"/>
    </row>
    <row r="53" spans="2:13">
      <c r="I53" s="393"/>
    </row>
  </sheetData>
  <sheetProtection sheet="1" selectLockedCells="1"/>
  <mergeCells count="4">
    <mergeCell ref="B4:B16"/>
    <mergeCell ref="B18:B27"/>
    <mergeCell ref="B29:B38"/>
    <mergeCell ref="B40:B49"/>
  </mergeCells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E I N K V R M E g U u l A A A A 9 Q A A A B I A H A B D b 2 5 m a W c v U G F j a 2 F n Z S 5 4 b W w g o h g A K K A U A A A A A A A A A A A A A A A A A A A A A A A A A A A A h Y 8 x D o I w G I W v Q r r T 1 m o M k p 8 y q J s k J i b G t S k V G q E Y W i x 3 c / B I X k G M o m 6 O 7 3 v f 8 N 7 9 e o O 0 r 6 v g o l q r G 5 O g C a Y o U E Y 2 u T Z F g j p 3 D C O U c t g K e R K F C g b Z 2 L i 3 e Y J K 5 8 4 x I d 5 7 7 K e 4 a Q v C K J 2 Q Q 7 b Z y V L V A n 1 k / V 8 O t b F O G K k Q h / 1 r D G d 4 M c f R j G E K Z G S Q a f P t 2 T D 3 2 f 5 A W H a V 6 1 r F c x W u 1 k D G C O R 9 g T 8 A U E s D B B Q A A g A I A B C D S l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Q g 0 p V K I p H u A 4 A A A A R A A A A E w A c A E Z v c m 1 1 b G F z L 1 N l Y 3 R p b 2 4 x L m 0 g o h g A K K A U A A A A A A A A A A A A A A A A A A A A A A A A A A A A K 0 5 N L s n M z 1 M I h t C G 1 g B Q S w E C L Q A U A A I A C A A Q g 0 p V E w S B S 6 U A A A D 1 A A A A E g A A A A A A A A A A A A A A A A A A A A A A Q 2 9 u Z m l n L 1 B h Y 2 t h Z 2 U u e G 1 s U E s B A i 0 A F A A C A A g A E I N K V Q / K 6 a u k A A A A 6 Q A A A B M A A A A A A A A A A A A A A A A A 8 Q A A A F t D b 2 5 0 Z W 5 0 X 1 R 5 c G V z X S 5 4 b W x Q S w E C L Q A U A A I A C A A Q g 0 p V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y c I D 6 G R D Y E e + o A 2 2 A a o C g Q A A A A A C A A A A A A A Q Z g A A A A E A A C A A A A A + P y a h B L C T N a 5 h l 0 x 1 5 p a l Q l K X A Z v x f y v H I S B A i j S V T Q A A A A A O g A A A A A I A A C A A A A C U 9 g v 7 q 9 c Y m x f A N E Y a K w 6 U o y u 1 i g R F X N c k 7 n B 7 R r 3 t 5 1 A A A A A 0 1 5 X H n k e y p p k o g 0 W k 6 H E C 2 S f D / G B i M W 9 w J 1 A C 3 H m S L E 3 u v F f / 3 i k 7 L N I k z Z 8 H R 3 M n U 8 y Y y 5 9 g q o / X t X 0 E 1 u I S h z F W 8 i w a B v P C 8 y 8 Q U R G Z w k A A A A C M 8 6 p U 8 i y N e O V v 0 9 f 7 J H N 0 X o I g 1 f n r 4 q i m 0 n E Q h V M T z j V m A 8 1 e / i n U O 2 6 N d W e R k Q B o / Z 1 j V c P T k z X E E U V C 0 p P H < / D a t a M a s h u p > 
</file>

<file path=customXml/itemProps1.xml><?xml version="1.0" encoding="utf-8"?>
<ds:datastoreItem xmlns:ds="http://schemas.openxmlformats.org/officeDocument/2006/customXml" ds:itemID="{C2FD6404-6C5B-4B2C-BD2E-E8B28BE8BB6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13</vt:i4>
      </vt:variant>
    </vt:vector>
  </HeadingPairs>
  <TitlesOfParts>
    <vt:vector size="25" baseType="lpstr">
      <vt:lpstr>Kalender</vt:lpstr>
      <vt:lpstr>Geburtstage</vt:lpstr>
      <vt:lpstr>Termine</vt:lpstr>
      <vt:lpstr>Ferien</vt:lpstr>
      <vt:lpstr>Jahreskalender</vt:lpstr>
      <vt:lpstr>Feiertage</vt:lpstr>
      <vt:lpstr>Gießtage</vt:lpstr>
      <vt:lpstr>Sonne</vt:lpstr>
      <vt:lpstr>Jahreszeiten</vt:lpstr>
      <vt:lpstr>Mond</vt:lpstr>
      <vt:lpstr>Erläuterungen</vt:lpstr>
      <vt:lpstr>Mond-Daten</vt:lpstr>
      <vt:lpstr>Kalender!____xlnm.Print_Area</vt:lpstr>
      <vt:lpstr>Geburtstage!___xlnm.Print_Area</vt:lpstr>
      <vt:lpstr>Kalender!___xlnm.Print_Area</vt:lpstr>
      <vt:lpstr>Termine!___xlnm.Print_Area</vt:lpstr>
      <vt:lpstr>Geburtstage!__xlnm.Print_Area</vt:lpstr>
      <vt:lpstr>Kalender!__xlnm.Print_Area</vt:lpstr>
      <vt:lpstr>Termine!__xlnm.Print_Area</vt:lpstr>
      <vt:lpstr>Ferien!Druckbereich</vt:lpstr>
      <vt:lpstr>Geburtstage!Druckbereich</vt:lpstr>
      <vt:lpstr>Jahreskalender!Druckbereich</vt:lpstr>
      <vt:lpstr>Kalender!Druckbereich</vt:lpstr>
      <vt:lpstr>Termine!Druckbereich</vt:lpstr>
      <vt:lpstr>Kalender!Excel_BuiltIn_Print_Area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Universelle-Kalendervorlage</dc:title>
  <dc:creator>Günter Katzor</dc:creator>
  <cp:lastModifiedBy>Timo Mutter</cp:lastModifiedBy>
  <cp:lastPrinted>2024-03-08T15:02:15Z</cp:lastPrinted>
  <dcterms:created xsi:type="dcterms:W3CDTF">2018-05-20T10:37:06Z</dcterms:created>
  <dcterms:modified xsi:type="dcterms:W3CDTF">2024-03-14T19:12:51Z</dcterms:modified>
  <cp:version>1.0</cp:version>
</cp:coreProperties>
</file>